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activeTab="3"/>
  </bookViews>
  <sheets>
    <sheet name="Creating a Quote" sheetId="5" r:id="rId1"/>
    <sheet name="Configure Products" sheetId="1" r:id="rId2"/>
    <sheet name="Quotation" sheetId="3" r:id="rId3"/>
    <sheet name="Skews" sheetId="4" r:id="rId4"/>
    <sheet name="LibJacket US List Prices" sheetId="2" r:id="rId5"/>
  </sheets>
  <definedNames>
    <definedName name="_xlnm.Print_Area" localSheetId="4">'LibJacket US List Prices'!$A$1:$F$23</definedName>
  </definedNames>
  <calcPr calcId="125725" iterate="1"/>
</workbook>
</file>

<file path=xl/calcChain.xml><?xml version="1.0" encoding="utf-8"?>
<calcChain xmlns="http://schemas.openxmlformats.org/spreadsheetml/2006/main">
  <c r="B19" i="3"/>
  <c r="H25"/>
  <c r="H24"/>
  <c r="G25"/>
  <c r="G24"/>
  <c r="D25"/>
  <c r="B25"/>
  <c r="B24"/>
  <c r="G21" i="1"/>
  <c r="D19"/>
  <c r="D18"/>
  <c r="F18"/>
  <c r="G18"/>
  <c r="H18"/>
  <c r="H19"/>
  <c r="D25"/>
  <c r="D30"/>
  <c r="C64" i="4"/>
  <c r="D63"/>
  <c r="D64" s="1"/>
  <c r="D23" i="1"/>
  <c r="H23"/>
  <c r="G23"/>
  <c r="F23"/>
  <c r="H21"/>
  <c r="D96" i="4"/>
  <c r="D95"/>
  <c r="C82"/>
  <c r="C81"/>
  <c r="D81" s="1"/>
  <c r="C80"/>
  <c r="C77"/>
  <c r="C91" s="1"/>
  <c r="C68"/>
  <c r="D67"/>
  <c r="D68" s="1"/>
  <c r="D47"/>
  <c r="C47"/>
  <c r="D31"/>
  <c r="C31"/>
  <c r="C24"/>
  <c r="C60" s="1"/>
  <c r="C23"/>
  <c r="C59" s="1"/>
  <c r="C22"/>
  <c r="C58" s="1"/>
  <c r="C21"/>
  <c r="C57" s="1"/>
  <c r="C20"/>
  <c r="C56" s="1"/>
  <c r="C19"/>
  <c r="C55" s="1"/>
  <c r="C18"/>
  <c r="C54" s="1"/>
  <c r="C17"/>
  <c r="C53" s="1"/>
  <c r="C16"/>
  <c r="C52" s="1"/>
  <c r="C15"/>
  <c r="C51" s="1"/>
  <c r="C14"/>
  <c r="C50" s="1"/>
  <c r="C13"/>
  <c r="C49" s="1"/>
  <c r="C12"/>
  <c r="C48" s="1"/>
  <c r="F19" i="1" l="1"/>
  <c r="G19"/>
  <c r="G30"/>
  <c r="H30"/>
  <c r="F30"/>
  <c r="D13" i="4"/>
  <c r="D15"/>
  <c r="D17"/>
  <c r="D19"/>
  <c r="D21"/>
  <c r="D23"/>
  <c r="C33"/>
  <c r="C35"/>
  <c r="C37"/>
  <c r="C39"/>
  <c r="C41"/>
  <c r="C43"/>
  <c r="D80"/>
  <c r="D82"/>
  <c r="C86"/>
  <c r="C88"/>
  <c r="C90"/>
  <c r="C92"/>
  <c r="D12"/>
  <c r="D14"/>
  <c r="D16"/>
  <c r="D18"/>
  <c r="D20"/>
  <c r="D22"/>
  <c r="D24"/>
  <c r="C32"/>
  <c r="C34"/>
  <c r="C36"/>
  <c r="C38"/>
  <c r="C40"/>
  <c r="C42"/>
  <c r="C44"/>
  <c r="D77"/>
  <c r="C85"/>
  <c r="C87"/>
  <c r="C89"/>
  <c r="D91" l="1"/>
  <c r="D89"/>
  <c r="D87"/>
  <c r="D85"/>
  <c r="D92"/>
  <c r="D90"/>
  <c r="D88"/>
  <c r="D86"/>
  <c r="D60"/>
  <c r="D44"/>
  <c r="D56"/>
  <c r="D40"/>
  <c r="D52"/>
  <c r="D36"/>
  <c r="D48"/>
  <c r="D32"/>
  <c r="D59"/>
  <c r="D43"/>
  <c r="D57"/>
  <c r="D41"/>
  <c r="D55"/>
  <c r="D39"/>
  <c r="D53"/>
  <c r="D37"/>
  <c r="D51"/>
  <c r="D35"/>
  <c r="D49"/>
  <c r="D33"/>
  <c r="D58"/>
  <c r="D42"/>
  <c r="D54"/>
  <c r="D38"/>
  <c r="D50"/>
  <c r="D34"/>
  <c r="D29" i="1" l="1"/>
  <c r="G29" s="1"/>
  <c r="D28"/>
  <c r="H28" s="1"/>
  <c r="D27"/>
  <c r="H27" s="1"/>
  <c r="F25"/>
  <c r="D26"/>
  <c r="B34" i="3"/>
  <c r="D34"/>
  <c r="B33"/>
  <c r="D33"/>
  <c r="D32"/>
  <c r="B32"/>
  <c r="B31"/>
  <c r="D31"/>
  <c r="D30"/>
  <c r="H26" i="1"/>
  <c r="B35" i="3"/>
  <c r="B30"/>
  <c r="D35"/>
  <c r="H25" i="1" l="1"/>
  <c r="D24"/>
  <c r="F29"/>
  <c r="H29"/>
  <c r="F28"/>
  <c r="G28"/>
  <c r="G27"/>
  <c r="F27"/>
  <c r="F26"/>
  <c r="G26"/>
  <c r="G25"/>
  <c r="B39" i="3"/>
  <c r="B38"/>
  <c r="B37"/>
  <c r="G28"/>
  <c r="D28"/>
  <c r="B28"/>
  <c r="G27"/>
  <c r="D27"/>
  <c r="B27"/>
  <c r="B23"/>
  <c r="H24" i="1" l="1"/>
  <c r="G24"/>
  <c r="F24"/>
  <c r="D24" i="3" l="1"/>
  <c r="D23"/>
  <c r="G23"/>
  <c r="H9" l="1"/>
  <c r="H6"/>
  <c r="H5"/>
  <c r="H22" i="1"/>
  <c r="G22"/>
  <c r="H35" i="3"/>
  <c r="H29"/>
  <c r="F22" i="1"/>
  <c r="F21"/>
  <c r="H31" l="1"/>
  <c r="H36" s="1"/>
  <c r="H23" i="3"/>
  <c r="H27"/>
  <c r="H28"/>
  <c r="G31" i="1"/>
  <c r="G36" s="1"/>
  <c r="F31" l="1"/>
  <c r="F36" s="1"/>
  <c r="H34"/>
  <c r="H35"/>
  <c r="G34"/>
  <c r="G35"/>
  <c r="D22"/>
  <c r="D21"/>
  <c r="F34" l="1"/>
  <c r="H37" i="3" s="1"/>
  <c r="F35" i="1"/>
  <c r="H38" i="3" s="1"/>
  <c r="D31" i="1"/>
  <c r="D34" s="1"/>
  <c r="H37"/>
  <c r="H39" i="3"/>
  <c r="G37" i="1"/>
  <c r="D36"/>
  <c r="H41" i="3" l="1"/>
  <c r="F37" i="1"/>
  <c r="D35"/>
  <c r="D37"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A24" authorId="2">
      <text>
        <r>
          <rPr>
            <b/>
            <sz val="9"/>
            <color indexed="81"/>
            <rFont val="Tahoma"/>
            <family val="2"/>
          </rPr>
          <t>Bill:</t>
        </r>
        <r>
          <rPr>
            <sz val="9"/>
            <color indexed="81"/>
            <rFont val="Tahoma"/>
            <family val="2"/>
          </rPr>
          <t xml:space="preserve">
Requires 1 Base License per MGL Workstation</t>
        </r>
      </text>
    </comment>
    <comment ref="C24" authorId="1">
      <text>
        <r>
          <rPr>
            <b/>
            <sz val="8"/>
            <color indexed="81"/>
            <rFont val="Tahoma"/>
            <family val="2"/>
          </rPr>
          <t>dgibson:</t>
        </r>
        <r>
          <rPr>
            <sz val="8"/>
            <color indexed="81"/>
            <rFont val="Tahoma"/>
            <family val="2"/>
          </rPr>
          <t xml:space="preserve">
Total MGL licenses for quote</t>
        </r>
      </text>
    </comment>
    <comment ref="A30" authorId="2">
      <text>
        <r>
          <rPr>
            <b/>
            <sz val="9"/>
            <color indexed="81"/>
            <rFont val="Tahoma"/>
            <family val="2"/>
          </rPr>
          <t>Bill:</t>
        </r>
        <r>
          <rPr>
            <sz val="9"/>
            <color indexed="81"/>
            <rFont val="Tahoma"/>
            <family val="2"/>
          </rPr>
          <t xml:space="preserve">
Requires 1 Base License per HPC License</t>
        </r>
      </text>
    </comment>
    <comment ref="C30"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4" authorId="2">
      <text>
        <r>
          <rPr>
            <b/>
            <sz val="9"/>
            <color indexed="81"/>
            <rFont val="Tahoma"/>
            <family val="2"/>
          </rPr>
          <t>Bill:</t>
        </r>
        <r>
          <rPr>
            <sz val="9"/>
            <color indexed="81"/>
            <rFont val="Tahoma"/>
            <family val="2"/>
          </rPr>
          <t xml:space="preserve">
Additional Year of SMS. Base License comes with 1st Year.</t>
        </r>
      </text>
    </comment>
    <comment ref="C34"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5" authorId="2">
      <text>
        <r>
          <rPr>
            <b/>
            <sz val="9"/>
            <color indexed="81"/>
            <rFont val="Tahoma"/>
            <family val="2"/>
          </rPr>
          <t>Bill:</t>
        </r>
        <r>
          <rPr>
            <sz val="9"/>
            <color indexed="81"/>
            <rFont val="Tahoma"/>
            <family val="2"/>
          </rPr>
          <t xml:space="preserve">
Phone Support is NOT included in Base License</t>
        </r>
      </text>
    </comment>
    <comment ref="C35" authorId="1">
      <text>
        <r>
          <rPr>
            <b/>
            <sz val="8"/>
            <color indexed="81"/>
            <rFont val="Tahoma"/>
            <family val="2"/>
          </rPr>
          <t>dgibson:</t>
        </r>
        <r>
          <rPr>
            <sz val="8"/>
            <color indexed="81"/>
            <rFont val="Tahoma"/>
            <family val="2"/>
          </rPr>
          <t xml:space="preserve">
If you desire Phone support enter "1" here, this is for 1 year of support</t>
        </r>
      </text>
    </comment>
    <comment ref="C36"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<sst xmlns="http://schemas.openxmlformats.org/spreadsheetml/2006/main" count="378" uniqueCount="293">
  <si>
    <t>Description</t>
  </si>
  <si>
    <t>Per GPU Pricing</t>
  </si>
  <si>
    <t>US List Price</t>
  </si>
  <si>
    <t>Base License</t>
  </si>
  <si>
    <t>N</t>
  </si>
  <si>
    <t>Double Precision Linear Alg.</t>
  </si>
  <si>
    <t>Multiple GPUs workstations</t>
  </si>
  <si>
    <t>Y</t>
  </si>
  <si>
    <t>Multiple GPUs clusters</t>
  </si>
  <si>
    <t>Quantity</t>
  </si>
  <si>
    <t>1=Yes</t>
  </si>
  <si>
    <t>Uplift</t>
  </si>
  <si>
    <t>Telephone Support</t>
  </si>
  <si>
    <t>Concurrent License</t>
  </si>
  <si>
    <t>End User Purchase Price</t>
  </si>
  <si>
    <t>Special Bundles</t>
  </si>
  <si>
    <t>Product Name</t>
  </si>
  <si>
    <t>Part Number</t>
  </si>
  <si>
    <t>NO</t>
  </si>
  <si>
    <t>YES</t>
  </si>
  <si>
    <t>Designated Computer Licenses</t>
  </si>
  <si>
    <t>Double Precision Linear Algebra</t>
  </si>
  <si>
    <t>Multiple GPUs workstations - 2 to 8 GPUs</t>
  </si>
  <si>
    <t>Multiple GPUs clusters - 8+ GPUs</t>
  </si>
  <si>
    <t>Phone Support</t>
  </si>
  <si>
    <t>1 year of phone support - 20% of license fees</t>
  </si>
  <si>
    <t>NOTE:</t>
  </si>
  <si>
    <t>Discount Schedule</t>
  </si>
  <si>
    <t>Discounts</t>
  </si>
  <si>
    <t>Academic</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</si>
  <si>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</si>
  <si>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</si>
  <si>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</si>
  <si>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</si>
  <si>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</si>
  <si>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</si>
  <si>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</si>
  <si>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</si>
  <si>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</si>
  <si>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</si>
  <si>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</si>
  <si>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</si>
  <si>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</si>
  <si>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</si>
  <si>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</si>
  <si>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</si>
  <si>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</si>
  <si>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</si>
  <si>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</si>
  <si>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</si>
  <si>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</si>
  <si>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</si>
  <si>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All pricing in US Dollars</t>
  </si>
  <si>
    <t>List Price</t>
  </si>
  <si>
    <t>EDU Price</t>
  </si>
  <si>
    <t>Addition to Base License</t>
  </si>
  <si>
    <t>Software Maintenance Service (SMS)</t>
  </si>
  <si>
    <t>Phone Support Upgrade</t>
  </si>
  <si>
    <t>Concurrent Network License</t>
  </si>
  <si>
    <t>Price per key</t>
  </si>
  <si>
    <t>Concurrent Network License Simultaneous GPU Sessions (SGS) Upgrade</t>
  </si>
  <si>
    <t>Add’l. Price</t>
  </si>
  <si>
    <t>Concurrent Network License  Software Maintenance Service (SMS)</t>
  </si>
  <si>
    <t>Concurrent Network License Developer SDK Upgrade</t>
  </si>
  <si>
    <t xml:space="preserve">Additional Information Training and Consulting Services </t>
  </si>
  <si>
    <t>Phone for named user -Annual fee for one named user</t>
  </si>
  <si>
    <t>-</t>
  </si>
  <si>
    <t>Phone for named user - EDU     Annual fee for one named user</t>
  </si>
  <si>
    <t>Enterprise Installation. Up to 16 GPUs   Does not include travel and expenses</t>
  </si>
  <si>
    <t>Enterprise Installation. Up to 64 GPUs  Does not include travel and expenses</t>
  </si>
  <si>
    <t>Enterprise Training - Custom - WebEx</t>
  </si>
  <si>
    <t>Enterprise Training - Custom - Onsite    Does not include travel and expenses</t>
  </si>
  <si>
    <t>Onsite training workshop up-to 12 students  Does not include travel and expenses</t>
  </si>
  <si>
    <t>Workshop extra student    Does not include travel and expenses</t>
  </si>
  <si>
    <t>Application consulting    Does not include travel and expenses</t>
  </si>
  <si>
    <t>One business day of consulting   Does not include travel and expenses</t>
  </si>
  <si>
    <t>One business week of consulting    Does not include travel and expenses</t>
  </si>
  <si>
    <t>Product Number</t>
  </si>
  <si>
    <t>Multiple GPU Options</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</si>
  <si>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</si>
  <si>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</si>
  <si>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</si>
  <si>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</si>
  <si>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</si>
  <si>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</si>
  <si>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</si>
  <si>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</si>
  <si>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</si>
  <si>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</si>
  <si>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</si>
  <si>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</si>
  <si>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</si>
  <si>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</si>
  <si>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</si>
  <si>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</si>
  <si>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</si>
  <si>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</si>
  <si>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</si>
  <si>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</si>
  <si>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</si>
  <si>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</si>
  <si>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</si>
  <si>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</si>
  <si>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</si>
  <si>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</si>
  <si>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</si>
  <si>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</si>
  <si>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</si>
  <si>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</si>
  <si>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</si>
  <si>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</si>
  <si>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</si>
  <si>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</si>
  <si>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</si>
  <si>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</si>
  <si>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</si>
  <si>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</si>
  <si>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</si>
  <si>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</si>
  <si>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All HPC quotes need to be approved by Sales for Final Configuration</t>
  </si>
  <si>
    <t>Sparse Linear Algebra</t>
  </si>
  <si>
    <t>LIBJACKET Price List</t>
  </si>
  <si>
    <t>LIBJACKET Base</t>
  </si>
  <si>
    <t>1-Yr</t>
  </si>
  <si>
    <t>LIBJACKET MGL</t>
  </si>
  <si>
    <t>LIBJACKET HPC</t>
  </si>
  <si>
    <t>LIBJACKET DLA</t>
  </si>
  <si>
    <t>LIBJACKET SLA</t>
  </si>
  <si>
    <t>Developer Licenses</t>
  </si>
  <si>
    <t>Designated Computer Base License</t>
  </si>
  <si>
    <t>Deployment Licenses</t>
  </si>
  <si>
    <t>Requires custom pricing from AccelerEyes.  Contact sales@accelereyes.com to request a quote.</t>
  </si>
  <si>
    <t>Support and Services</t>
  </si>
  <si>
    <t>Perpetual vs. Subscription</t>
  </si>
  <si>
    <t>Licenses sold as 1-year subscriptions that include updates. At the end of the year, customers may either renew the subscription or continue using libJacket without future updates.  License agreement is here:  http://accelereyes.com/eula_libjacket</t>
  </si>
  <si>
    <t>Regular Price</t>
  </si>
  <si>
    <t>LIB-BASE-SUB</t>
  </si>
  <si>
    <t>LIB-MGL0XXG-SUB</t>
  </si>
  <si>
    <t>LIB-HPC0XXG-SUB</t>
  </si>
  <si>
    <t>LIB-DLA-SUB</t>
  </si>
  <si>
    <t>LIB-SLA-SUB</t>
  </si>
  <si>
    <t xml:space="preserve"> LibJacket US List Price</t>
  </si>
  <si>
    <t>Last updated 5/29/2011</t>
  </si>
  <si>
    <t>LIB-BASE-PER</t>
  </si>
  <si>
    <t>LIB-MGL002G-PER</t>
  </si>
  <si>
    <t>LIB-MGL003G-PER</t>
  </si>
  <si>
    <t>LIB-MGL004G-PER</t>
  </si>
  <si>
    <t>LIB-MGL005G-PER</t>
  </si>
  <si>
    <t>LIB-MGL006G-PER</t>
  </si>
  <si>
    <t>LIB-MGL007G-PER</t>
  </si>
  <si>
    <t>LIB-MGL008G-PER</t>
  </si>
  <si>
    <t>LIB-HPC012G-PER</t>
  </si>
  <si>
    <t>LIB-HPC016G-PER</t>
  </si>
  <si>
    <t>LIB-HPC032G-PER</t>
  </si>
  <si>
    <t>LIB-HPC064G-PER</t>
  </si>
  <si>
    <t>LIB-HPC128G-PER</t>
  </si>
  <si>
    <t>LIB-HPC256G-PER</t>
  </si>
  <si>
    <t xml:space="preserve">Upgrade  to a Multi GPU base license up to 2 GPUs  Multi- GPU License  </t>
  </si>
  <si>
    <t xml:space="preserve">Upgrade  to a Multi GPU base license up to 3 GPUs  Multi- GPU License  </t>
  </si>
  <si>
    <t xml:space="preserve">Upgrade  to a Multi GPU base license up to 4 GPUs,  Multi- GPU License  </t>
  </si>
  <si>
    <t xml:space="preserve">Upgrade  to a Multi GPU base license up to 5 GPUs,  Multi- GPU License  </t>
  </si>
  <si>
    <t xml:space="preserve">Upgrade  to a Multi GPU base license up to 6 GPUs,  Multi- GPU License  </t>
  </si>
  <si>
    <t xml:space="preserve">Upgrade  to a Multi GPU base license up to 7 GPUs,  Multi- GPU License  </t>
  </si>
  <si>
    <t xml:space="preserve">Upgrade  to a Multi GPU base license up to 8 GPUs, Multi- GPU License  </t>
  </si>
  <si>
    <t>Upgrade  to a HPC Multi GPU base license up to 12 GPUs,  Multi- GPU License  &amp; DCS</t>
  </si>
  <si>
    <t>Upgrade  to a HPC Multi GPU base license up to 16 GPUs,  Multi- GPU License  &amp; DCS</t>
  </si>
  <si>
    <t>Upgrade  to a HPC Multi GPU base license up to 32 GPUs,  Multi- GPU License  &amp; DCS</t>
  </si>
  <si>
    <t>Upgrade  to a HPC Multi GPU base license up to 64 GPUs,  Multi- GPU License  &amp; DCS</t>
  </si>
  <si>
    <t>Upgrade  to a HPC Multi GPU base license up to 128 GPUs,  Multi- GPU License  &amp; DCS</t>
  </si>
  <si>
    <t>Upgrade  to a HPC Multi GPU base license up to 256 GPUs,  Multi- GPU License  &amp; DCS</t>
  </si>
  <si>
    <t>LIB-BASE-SMS</t>
  </si>
  <si>
    <t>LIB-MGL002G-SMS</t>
  </si>
  <si>
    <t>LIB-MGL003G-SMS</t>
  </si>
  <si>
    <t>LIB-MGL004G-SMS</t>
  </si>
  <si>
    <t>LIB-MGL005G-SMS</t>
  </si>
  <si>
    <t>LIB-MGL006G-SMS</t>
  </si>
  <si>
    <t>LIB-MGL007G-SMS</t>
  </si>
  <si>
    <t>LIB-MGL008G-SMS</t>
  </si>
  <si>
    <t>LIB-HPC012G-SMS</t>
  </si>
  <si>
    <t>LIB-HPC016G-SMS</t>
  </si>
  <si>
    <t>LIB-HPC032G-SMS</t>
  </si>
  <si>
    <t>LIB-HPC064G-SMS</t>
  </si>
  <si>
    <t>LIB-HPC128G-SMS</t>
  </si>
  <si>
    <t>LIB-HPC256G-SMS</t>
  </si>
  <si>
    <t>LIB-BASE-PHONE</t>
  </si>
  <si>
    <t>LIB-MGL002G-PHONE</t>
  </si>
  <si>
    <t>LIB-MGL003G-PHONE</t>
  </si>
  <si>
    <t>LIB-MGL004G-PHONE</t>
  </si>
  <si>
    <t>LIB-MGL005G-PHONE</t>
  </si>
  <si>
    <t>LIB-MGL006G-PHONE</t>
  </si>
  <si>
    <t>LIB-MGL007G-PHONE</t>
  </si>
  <si>
    <t>LIB-MGL008G-PHONE</t>
  </si>
  <si>
    <t>LIB-HPC012G-PHONE</t>
  </si>
  <si>
    <t>LIB-HPC016G-PHONE</t>
  </si>
  <si>
    <t>LIB-HPC032G-PHONE</t>
  </si>
  <si>
    <t>LIB-HPC064G-PHONE</t>
  </si>
  <si>
    <t>LIB-HPC128G-PHONE</t>
  </si>
  <si>
    <t>LIB-HPC256G-PHONE</t>
  </si>
  <si>
    <t>LIB-DLA-PER</t>
  </si>
  <si>
    <t>LIB-DLA-SMS</t>
  </si>
  <si>
    <t>LIB-SLA-PER</t>
  </si>
  <si>
    <t>LIB-SLA-SMS</t>
  </si>
  <si>
    <t>LIB-BASE-CN</t>
  </si>
  <si>
    <t>LIB-CN02G-PER</t>
  </si>
  <si>
    <t>LIB-CN03G-PER</t>
  </si>
  <si>
    <t>LIB-CN04G-PER</t>
  </si>
  <si>
    <t>LIB-CN01G-SMS</t>
  </si>
  <si>
    <t>LIB-CN02G-SMS</t>
  </si>
  <si>
    <t>LIB-CN03G-SMS</t>
  </si>
  <si>
    <t>LIB-CN04G-SMS</t>
  </si>
  <si>
    <t>LIB-CN01G-PHONE</t>
  </si>
  <si>
    <t>LIB-CN02G-PHONE</t>
  </si>
  <si>
    <t>LIB-CN03G-PHONE</t>
  </si>
  <si>
    <t>LIB-CN04G-PHONE</t>
  </si>
  <si>
    <t>LIB-CNSDK-PER</t>
  </si>
  <si>
    <t>LIB-CNSDK-SMS</t>
  </si>
  <si>
    <t>LIB-PHONE-1USR-1YR</t>
  </si>
  <si>
    <t>LIB-PHONE-1USR-1YR-EDU</t>
  </si>
  <si>
    <t>LIB-ENTINSTALL-16G</t>
  </si>
  <si>
    <t>LIB-ENTINSTALL-64G</t>
  </si>
  <si>
    <t>LIB-ENTTRAIN-WEB</t>
  </si>
  <si>
    <t>LIB-ENTTRAIN-ONSITE</t>
  </si>
  <si>
    <t>LIB-ENTTRAIN-WSHOP</t>
  </si>
  <si>
    <t>LIB-ENTTRAIN-WSHOP-ADD</t>
  </si>
  <si>
    <t>LIB-CONSULT-ASSESS</t>
  </si>
  <si>
    <t>LIB-CONSULT-1D</t>
  </si>
  <si>
    <t>LIB-CONSULT-1W</t>
  </si>
  <si>
    <t>Upgrade to a base license to include the developer SDK.</t>
  </si>
  <si>
    <t>1-year phone support for a LIB-CN01G-PER license</t>
  </si>
  <si>
    <t>1-year phone support for a LIB-CN02G-PER license</t>
  </si>
  <si>
    <t>1-year phone support for a LIB-CN03G-PER upgraded license</t>
  </si>
  <si>
    <t>1-year phone support for a LIB-CN04G-PER upgraded license</t>
  </si>
  <si>
    <t>Upgrade to a base license to 3 GPU.</t>
  </si>
  <si>
    <t>Upgrade to a base license to 2 GPU</t>
  </si>
  <si>
    <t>Upgrade to a base license to 4 GPU.</t>
  </si>
  <si>
    <t xml:space="preserve"> LibLibJacket US List Price</t>
  </si>
  <si>
    <t>Upgrades to Multi GPU LibJacket LICENSE</t>
  </si>
  <si>
    <t>1-year additional LibJacket Base Software Maintenance Service</t>
  </si>
  <si>
    <t>1-year additional LibJacket Multi-GPU Software Maintenance Service for up to 2 GPUs</t>
  </si>
  <si>
    <t>1-year additional LibJacket Multi-GPU Software Maintenance Service for up to 3 GPUs</t>
  </si>
  <si>
    <t>1-year additional LibJacket Multi-GPU Software Maintenance Service for up to 4 GPUs</t>
  </si>
  <si>
    <t>1-year additional LibJacket Multi-GPU Software Maintenance Service for up to 5 GPUs</t>
  </si>
  <si>
    <t>1-year additional LibJacket Multi-GPU Software Maintenance Service for up to 6 GPUs</t>
  </si>
  <si>
    <t>1-year additional LibJacket Multi-GPU Software Maintenance Service for up to 7 GPUs</t>
  </si>
  <si>
    <t>1-year additional LibJacket Multi-GPU Software Maintenance Service for up to 8 GPUs</t>
  </si>
  <si>
    <t>1-year additional LibJacket HPC Multi-GPU Software Maintenance Service for up to 12 GPUs</t>
  </si>
  <si>
    <t>1-year additional LibJacket HPC Multi-GPU Software Maintenance Service for up to 16 GPUs</t>
  </si>
  <si>
    <t>1-year additional LibJacket HPC Multi-GPU Software Maintenance Service for up to 32 GPUs</t>
  </si>
  <si>
    <t>1-year additional LibJacket HPC Multi-GPU Software Maintenance Service for up to 64 GPUs</t>
  </si>
  <si>
    <t>1-year additional LibJacket HPC Multi-GPU Software Maintenance Service for up to 128 GPUs</t>
  </si>
  <si>
    <t>1-year additional LibJacket HPC Multi-GPU Software Maintenance Service for up to 256 GPUs</t>
  </si>
  <si>
    <t>1-year Phone LibJacket Base Support</t>
  </si>
  <si>
    <t>1-year Phone LibJacket Multi-GPU Support for up to 2 GPUs</t>
  </si>
  <si>
    <t>1-year Phone LibJacket Multi-GPU Support for up to 3 GPUs</t>
  </si>
  <si>
    <t>1-year Phone LibJacket Multi-GPU Support for up to 4 GPUs</t>
  </si>
  <si>
    <t>1-year Phone LibJacket Multi-GPU Support for up to 5 GPUs</t>
  </si>
  <si>
    <t>1-year Phone LibJacket Multi-GPU Support for up to 6 GPUs</t>
  </si>
  <si>
    <t>1-year Phone LibJacket Multi-GPU Support for up to 7 GPUs</t>
  </si>
  <si>
    <t>1-year Phone LibJacket Multi-GPU Support for up to 8 GPUs</t>
  </si>
  <si>
    <t>1-year Phone LibJacket HPC Multi-GPU Support for up to 12 GPUs</t>
  </si>
  <si>
    <t>1-year Phone LibJacket HPC Multi-GPU Support for up to 16 GPUs</t>
  </si>
  <si>
    <t>1-year Phone LibJacket HPC Multi-GPU Support for up to 32 GPUs</t>
  </si>
  <si>
    <t>1-year Phone LibJacket HPC Multi-GPU Support for up to 64 GPUs</t>
  </si>
  <si>
    <t>1-year Phone LibJacket HPC Multi-GPU Support for up to 128 GPUs</t>
  </si>
  <si>
    <t>1-year Phone LibJacket HPC Multi-GPU Support for up to 256 GPUs</t>
  </si>
  <si>
    <t>DLA – LibJacket Double Precision Linear Algebra</t>
  </si>
  <si>
    <t>LibJacket Double Precision Linear Algebra</t>
  </si>
  <si>
    <t>SLA – LibJacket Sparse Linear Algebra</t>
  </si>
  <si>
    <t>LibJacket  Sparse Linear Algebra</t>
  </si>
  <si>
    <t xml:space="preserve">1-year maintenance for a LIB-CN01G-PER license, a LibJacket license must be under current software maintenance. </t>
  </si>
  <si>
    <t xml:space="preserve">1-year maintenance for a LIB-CN02G-PER license, a LibJacket license must be under current software maintenance. </t>
  </si>
  <si>
    <t xml:space="preserve">1-year maintenance for a LIB-CN03G-PER upgraded license  a LibJacket license must be under current software maintenance. </t>
  </si>
  <si>
    <t xml:space="preserve">1-year maintenance for a LIB-CN04G-PER upgraded license  a LibJacket license must be under current software maintenance. </t>
  </si>
  <si>
    <t>1-year maintenance for a LIB-DLA-PER upgraded license.</t>
  </si>
  <si>
    <t>1-year maintenance for a LIB-SLA-PER upgraded license.</t>
  </si>
  <si>
    <t>1-year maintenance for a LIB-CNSDK-PER upgraded license.</t>
  </si>
  <si>
    <t xml:space="preserve"> </t>
  </si>
  <si>
    <t xml:space="preserve">     - individual products next - LibJacket Base, DLA, SLA</t>
  </si>
  <si>
    <t>Standard</t>
  </si>
  <si>
    <t>LibJacket Base</t>
  </si>
  <si>
    <t>LibJacket DLA</t>
  </si>
  <si>
    <t>LibJacket SLA</t>
  </si>
  <si>
    <t>LibJacket MGL</t>
  </si>
  <si>
    <t>LibJacket HPC</t>
  </si>
  <si>
    <t>Prepare a Quotation for LibJacket Products</t>
  </si>
  <si>
    <t>5 LibJacket Seats</t>
  </si>
  <si>
    <t>5 Base LibJacket licenses</t>
  </si>
  <si>
    <t>10 LibJacket Seats</t>
  </si>
  <si>
    <t>10 Base LibJacket Licenses</t>
  </si>
  <si>
    <t>Select "Customer Type" - Commercial,Govt / Academic(0/2)</t>
  </si>
  <si>
    <t>0 - Commercial/Indvidual, Government/Research, 2 - Academic</t>
  </si>
  <si>
    <t xml:space="preserve">Concurrent Network License of LibLibJacket.  You can make LibLibJacket available to anyone with access to your network via LibJacket’s FLEXNET license manager. Concurrent keys are used to control access. Users check out a key when they use LibLibJacket functions. When all the keys for a particular product are checked out, the license manager denies further requests. You can install LibJacket on unlimited machines with unlimited users. Use is only limited by the number of concurrent keys. All concurrent network base licenses are a 1 Year Subscription and come with 1-year of maintenance. Licenses include: the Graphics Library support a single simultaneous GPU sessions, and basic support on the AccelerEyes forums. All licenses are subject to the EULA found at http://www.accelereyes.com/doc/EULA.pdf </t>
  </si>
  <si>
    <t>LibJacket Designated computer base licenses are 1 Year Subscription and come with 1-year of maintenance. Licenses include: basic support on the AccelerEyes forums.  All licenses are subject to the EULA found at http://www.accelereyes.com/doc/EULA.pdf</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</si>
</sst>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7">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0"/>
      <name val="Calibri"/>
      <family val="2"/>
      <scheme val="minor"/>
    </font>
    <font>
      <sz val="11"/>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18">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1" fillId="16" borderId="0" xfId="0" applyFont="1" applyFill="1"/>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43" fillId="7" borderId="0" xfId="1" applyFont="1" applyFill="1" applyBorder="1" applyAlignment="1">
      <alignment horizontal="left" vertical="center" wrapText="1"/>
    </xf>
    <xf numFmtId="0" fontId="0" fillId="0" borderId="0" xfId="0" applyFont="1" applyAlignment="1">
      <alignment horizontal="center"/>
    </xf>
    <xf numFmtId="0" fontId="0" fillId="4" borderId="0" xfId="0" applyFont="1" applyFill="1"/>
    <xf numFmtId="0" fontId="0" fillId="7" borderId="0" xfId="0" applyFont="1" applyFill="1"/>
    <xf numFmtId="164" fontId="0" fillId="7" borderId="0" xfId="0" applyNumberFormat="1" applyFont="1" applyFill="1"/>
    <xf numFmtId="0" fontId="0" fillId="7" borderId="0" xfId="0" applyFont="1" applyFill="1" applyBorder="1"/>
    <xf numFmtId="0" fontId="0" fillId="0" borderId="0" xfId="0" applyFont="1" applyBorder="1"/>
    <xf numFmtId="0" fontId="43" fillId="9" borderId="0" xfId="1" applyFont="1" applyFill="1" applyBorder="1" applyAlignment="1">
      <alignment horizontal="left" vertical="center" wrapText="1"/>
    </xf>
    <xf numFmtId="0" fontId="44" fillId="4" borderId="0" xfId="1" applyFont="1" applyFill="1" applyBorder="1" applyAlignment="1">
      <alignment horizontal="left" vertical="center" wrapText="1"/>
    </xf>
    <xf numFmtId="0" fontId="43" fillId="0" borderId="0" xfId="1" applyFont="1" applyFill="1" applyBorder="1" applyAlignment="1">
      <alignment horizontal="left" vertical="center" wrapText="1"/>
    </xf>
    <xf numFmtId="9" fontId="0" fillId="7" borderId="0" xfId="0" applyNumberFormat="1" applyFont="1" applyFill="1"/>
    <xf numFmtId="9" fontId="0" fillId="0" borderId="0" xfId="0" applyNumberFormat="1" applyFont="1"/>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45" fillId="0" borderId="0" xfId="0" applyFont="1" applyAlignment="1">
      <alignment vertical="top" wrapText="1"/>
    </xf>
    <xf numFmtId="0" fontId="45" fillId="7" borderId="0" xfId="0" applyFont="1" applyFill="1" applyAlignment="1">
      <alignment vertical="top" wrapText="1"/>
    </xf>
    <xf numFmtId="0" fontId="46" fillId="4" borderId="0" xfId="0" applyFont="1" applyFill="1" applyAlignment="1">
      <alignment vertical="top" wrapText="1"/>
    </xf>
    <xf numFmtId="0" fontId="45" fillId="0" borderId="0" xfId="0" applyFont="1" applyFill="1" applyAlignment="1">
      <alignment vertical="top"/>
    </xf>
    <xf numFmtId="0" fontId="0" fillId="18" borderId="0" xfId="0" applyFont="1" applyFill="1"/>
    <xf numFmtId="0" fontId="45"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3" fillId="18" borderId="0" xfId="1" applyFont="1" applyFill="1" applyBorder="1" applyAlignment="1">
      <alignment vertical="center" wrapText="1"/>
    </xf>
    <xf numFmtId="0" fontId="43"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5" fillId="18" borderId="0" xfId="0" applyFont="1" applyFill="1" applyAlignment="1">
      <alignment vertical="top"/>
    </xf>
    <xf numFmtId="0" fontId="43" fillId="18" borderId="0" xfId="1" applyFont="1" applyFill="1" applyBorder="1" applyAlignment="1">
      <alignment horizontal="left" vertical="center" wrapText="1"/>
    </xf>
    <xf numFmtId="9" fontId="0" fillId="18" borderId="0" xfId="0" applyNumberFormat="1" applyFont="1" applyFill="1"/>
    <xf numFmtId="0" fontId="0" fillId="9" borderId="0" xfId="0" applyFont="1" applyFill="1"/>
    <xf numFmtId="0" fontId="25" fillId="0" borderId="0" xfId="1" applyFont="1" applyAlignment="1">
      <alignment horizontal="left"/>
    </xf>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7" fillId="11" borderId="13" xfId="1" applyFont="1" applyFill="1" applyBorder="1" applyAlignment="1">
      <alignment horizontal="center" vertical="center" wrapText="1"/>
    </xf>
    <xf numFmtId="0" fontId="0" fillId="0" borderId="12" xfId="0" applyBorder="1" applyAlignment="1"/>
    <xf numFmtId="0" fontId="23" fillId="14" borderId="0" xfId="1" applyFont="1" applyFill="1" applyBorder="1" applyAlignment="1">
      <alignment horizontal="center" vertical="center"/>
    </xf>
    <xf numFmtId="0" fontId="0" fillId="0" borderId="0" xfId="0" applyAlignment="1">
      <alignment horizontal="center" vertical="center"/>
    </xf>
    <xf numFmtId="0" fontId="19" fillId="14" borderId="0" xfId="1" applyFont="1" applyFill="1" applyBorder="1" applyAlignment="1">
      <alignment horizontal="center" vertical="center"/>
    </xf>
    <xf numFmtId="0" fontId="0" fillId="0" borderId="0" xfId="0" applyAlignment="1"/>
    <xf numFmtId="0" fontId="24" fillId="14" borderId="0" xfId="1" applyFont="1" applyFill="1" applyBorder="1" applyAlignment="1">
      <alignment horizontal="left"/>
    </xf>
    <xf numFmtId="0" fontId="9" fillId="0" borderId="0" xfId="1" applyBorder="1" applyAlignment="1">
      <alignment horizontal="left"/>
    </xf>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9" fillId="0" borderId="0" xfId="1" applyAlignment="1"/>
    <xf numFmtId="0" fontId="25" fillId="0" borderId="0" xfId="1" applyFont="1" applyAlignment="1">
      <alignment horizontal="left"/>
    </xf>
    <xf numFmtId="0" fontId="26" fillId="9" borderId="0" xfId="1" applyFont="1" applyFill="1" applyBorder="1" applyAlignment="1">
      <alignment horizontal="center" vertical="center"/>
    </xf>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42" fillId="9" borderId="0" xfId="1" applyFont="1" applyFill="1" applyBorder="1" applyAlignment="1">
      <alignment vertical="center" wrapText="1"/>
    </xf>
    <xf numFmtId="0" fontId="13" fillId="9" borderId="0" xfId="0" applyFont="1" applyFill="1" applyBorder="1" applyAlignment="1"/>
    <xf numFmtId="0" fontId="14" fillId="0" borderId="0" xfId="0" applyFont="1" applyAlignment="1">
      <alignment horizontal="left" vertical="center" indent="3"/>
    </xf>
    <xf numFmtId="0" fontId="0" fillId="0" borderId="0" xfId="0" applyFont="1" applyAlignment="1">
      <alignment horizontal="left" vertical="center" indent="3"/>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607232</xdr:colOff>
      <xdr:row>69</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609601</xdr:colOff>
      <xdr:row>25</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2083607</xdr:colOff>
      <xdr:row>71</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2047876</xdr:colOff>
      <xdr:row>26</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69</xdr:row>
      <xdr:rowOff>180975</xdr:rowOff>
    </xdr:from>
    <xdr:to>
      <xdr:col>4</xdr:col>
      <xdr:colOff>18166</xdr:colOff>
      <xdr:row>70</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24</xdr:row>
      <xdr:rowOff>171450</xdr:rowOff>
    </xdr:from>
    <xdr:to>
      <xdr:col>3</xdr:col>
      <xdr:colOff>923925</xdr:colOff>
      <xdr:row>26</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552450</xdr:colOff>
      <xdr:row>0</xdr:row>
      <xdr:rowOff>59518</xdr:rowOff>
    </xdr:from>
    <xdr:to>
      <xdr:col>5</xdr:col>
      <xdr:colOff>1724028</xdr:colOff>
      <xdr:row>0</xdr:row>
      <xdr:rowOff>544449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7229475" y="59518"/>
          <a:ext cx="1171578" cy="484931"/>
        </a:xfrm>
        <a:prstGeom prst="rect">
          <a:avLst/>
        </a:prstGeom>
      </xdr:spPr>
    </xdr:pic>
    <xdr:clientData/>
  </xdr:twoCellAnchor>
  <xdr:twoCellAnchor editAs="oneCell">
    <xdr:from>
      <xdr:col>5</xdr:col>
      <xdr:colOff>66675</xdr:colOff>
      <xdr:row>9</xdr:row>
      <xdr:rowOff>95727</xdr:rowOff>
    </xdr:from>
    <xdr:to>
      <xdr:col>6</xdr:col>
      <xdr:colOff>9524</xdr:colOff>
      <xdr:row>15</xdr:row>
      <xdr:rowOff>116683</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6743700" y="2362677"/>
          <a:ext cx="1790699" cy="11639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workbookViewId="0">
      <selection activeCell="D5" sqref="D5"/>
    </sheetView>
  </sheetViews>
  <sheetFormatPr defaultRowHeight="15"/>
  <cols>
    <col min="2" max="2" width="64" customWidth="1"/>
    <col min="4" max="4" width="62.140625" customWidth="1"/>
  </cols>
  <sheetData>
    <row r="1" spans="1:4" ht="23.25">
      <c r="B1" s="145" t="s">
        <v>89</v>
      </c>
    </row>
    <row r="2" spans="1:4">
      <c r="B2" s="144"/>
    </row>
    <row r="3" spans="1:4">
      <c r="A3">
        <v>1</v>
      </c>
      <c r="B3" t="s">
        <v>88</v>
      </c>
    </row>
    <row r="4" spans="1:4" ht="21">
      <c r="A4">
        <v>2</v>
      </c>
      <c r="B4" s="26" t="s">
        <v>90</v>
      </c>
      <c r="C4" s="23"/>
    </row>
    <row r="5" spans="1:4">
      <c r="A5">
        <v>3</v>
      </c>
      <c r="B5" t="s">
        <v>92</v>
      </c>
      <c r="D5" t="s">
        <v>290</v>
      </c>
    </row>
    <row r="6" spans="1:4">
      <c r="A6">
        <v>4</v>
      </c>
      <c r="B6" t="s">
        <v>91</v>
      </c>
    </row>
    <row r="7" spans="1:4">
      <c r="B7" t="s">
        <v>93</v>
      </c>
    </row>
    <row r="8" spans="1:4">
      <c r="B8" t="s">
        <v>277</v>
      </c>
    </row>
    <row r="9" spans="1:4">
      <c r="A9">
        <v>5</v>
      </c>
      <c r="B9" t="s">
        <v>94</v>
      </c>
    </row>
    <row r="10" spans="1:4">
      <c r="B10" t="s">
        <v>101</v>
      </c>
    </row>
    <row r="11" spans="1:4">
      <c r="A11" s="146"/>
      <c r="B11" t="s">
        <v>117</v>
      </c>
    </row>
    <row r="12" spans="1:4">
      <c r="B12" t="s">
        <v>95</v>
      </c>
    </row>
    <row r="13" spans="1:4">
      <c r="B13" t="s">
        <v>96</v>
      </c>
    </row>
    <row r="14" spans="1:4">
      <c r="A14">
        <v>6</v>
      </c>
      <c r="B14" t="s">
        <v>97</v>
      </c>
    </row>
    <row r="15" spans="1:4">
      <c r="A15" s="146"/>
      <c r="B15" t="s">
        <v>118</v>
      </c>
      <c r="D15" s="37" t="s">
        <v>119</v>
      </c>
    </row>
    <row r="16" spans="1:4">
      <c r="A16">
        <v>7</v>
      </c>
      <c r="B16" t="s">
        <v>98</v>
      </c>
      <c r="D16" t="s">
        <v>100</v>
      </c>
    </row>
    <row r="17" spans="1:4">
      <c r="A17">
        <v>8</v>
      </c>
      <c r="B17" t="s">
        <v>99</v>
      </c>
      <c r="D17" t="s">
        <v>100</v>
      </c>
    </row>
    <row r="18" spans="1:4">
      <c r="A18">
        <v>9</v>
      </c>
      <c r="B18" t="s">
        <v>102</v>
      </c>
      <c r="D18" t="s">
        <v>100</v>
      </c>
    </row>
    <row r="19" spans="1:4">
      <c r="A19">
        <v>10</v>
      </c>
      <c r="B19" t="s">
        <v>103</v>
      </c>
    </row>
    <row r="20" spans="1:4">
      <c r="B20" t="s">
        <v>104</v>
      </c>
    </row>
    <row r="21" spans="1:4">
      <c r="A21">
        <v>11</v>
      </c>
      <c r="B21" t="s">
        <v>105</v>
      </c>
    </row>
    <row r="22" spans="1:4">
      <c r="B22" t="s">
        <v>106</v>
      </c>
    </row>
    <row r="23" spans="1:4">
      <c r="B23" t="s">
        <v>107</v>
      </c>
    </row>
    <row r="24" spans="1:4">
      <c r="B24" t="s">
        <v>108</v>
      </c>
    </row>
    <row r="25" spans="1:4">
      <c r="B25" t="s">
        <v>109</v>
      </c>
    </row>
    <row r="26" spans="1:4">
      <c r="B26" t="s">
        <v>110</v>
      </c>
    </row>
    <row r="27" spans="1:4">
      <c r="B27" t="s">
        <v>111</v>
      </c>
    </row>
    <row r="28" spans="1:4">
      <c r="B28" t="s">
        <v>112</v>
      </c>
    </row>
    <row r="29" spans="1:4">
      <c r="B29" t="s">
        <v>113</v>
      </c>
    </row>
    <row r="30" spans="1:4">
      <c r="B30" t="s">
        <v>116</v>
      </c>
    </row>
    <row r="31" spans="1:4">
      <c r="B31" t="s">
        <v>114</v>
      </c>
    </row>
    <row r="32" spans="1:4">
      <c r="B32" t="s">
        <v>115</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37"/>
  <sheetViews>
    <sheetView workbookViewId="0">
      <selection activeCell="K18" sqref="K18"/>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9" s="31" customFormat="1" ht="23.25" customHeight="1">
      <c r="A1" s="195" t="s">
        <v>289</v>
      </c>
      <c r="B1" s="196"/>
      <c r="C1" s="196"/>
      <c r="D1" s="196"/>
      <c r="F1" s="189">
        <v>0</v>
      </c>
      <c r="G1" s="190"/>
      <c r="H1" s="191"/>
    </row>
    <row r="2" spans="1:9" s="31" customFormat="1">
      <c r="A2" s="32"/>
      <c r="B2" s="33"/>
      <c r="F2" s="34" t="s">
        <v>278</v>
      </c>
      <c r="G2" s="34" t="s">
        <v>30</v>
      </c>
      <c r="H2" s="34" t="s">
        <v>29</v>
      </c>
    </row>
    <row r="3" spans="1:9" s="5" customFormat="1">
      <c r="A3" s="1"/>
      <c r="B3" s="2" t="s">
        <v>0</v>
      </c>
      <c r="C3" s="3" t="s">
        <v>1</v>
      </c>
      <c r="D3" s="1" t="s">
        <v>2</v>
      </c>
      <c r="E3" s="4"/>
      <c r="F3" s="193" t="s">
        <v>28</v>
      </c>
      <c r="G3" s="194"/>
      <c r="H3" s="194"/>
    </row>
    <row r="4" spans="1:9">
      <c r="A4" t="s">
        <v>279</v>
      </c>
      <c r="B4" s="6" t="s">
        <v>3</v>
      </c>
      <c r="C4" s="7" t="s">
        <v>4</v>
      </c>
      <c r="D4" s="8">
        <v>999</v>
      </c>
      <c r="F4" s="40">
        <v>0</v>
      </c>
      <c r="G4" s="40">
        <v>0</v>
      </c>
      <c r="H4" s="40">
        <v>0.65</v>
      </c>
    </row>
    <row r="5" spans="1:9" hidden="1" outlineLevel="1">
      <c r="A5" t="s">
        <v>280</v>
      </c>
      <c r="B5" s="6" t="s">
        <v>5</v>
      </c>
      <c r="C5" s="7" t="s">
        <v>4</v>
      </c>
      <c r="D5" s="8">
        <v>395</v>
      </c>
    </row>
    <row r="6" spans="1:9" hidden="1" outlineLevel="1">
      <c r="A6" t="s">
        <v>281</v>
      </c>
      <c r="B6" s="26" t="s">
        <v>120</v>
      </c>
      <c r="C6" s="7" t="s">
        <v>4</v>
      </c>
      <c r="D6" s="8">
        <v>395</v>
      </c>
    </row>
    <row r="7" spans="1:9" hidden="1" outlineLevel="1">
      <c r="A7" t="s">
        <v>276</v>
      </c>
      <c r="B7" s="6" t="s">
        <v>276</v>
      </c>
      <c r="C7" s="7" t="s">
        <v>276</v>
      </c>
      <c r="D7" s="8" t="s">
        <v>276</v>
      </c>
      <c r="I7" s="28"/>
    </row>
    <row r="8" spans="1:9" hidden="1" outlineLevel="1">
      <c r="A8" t="s">
        <v>276</v>
      </c>
      <c r="B8" s="6" t="s">
        <v>276</v>
      </c>
      <c r="C8" s="7" t="s">
        <v>276</v>
      </c>
      <c r="D8" s="8" t="s">
        <v>276</v>
      </c>
    </row>
    <row r="9" spans="1:9" hidden="1" outlineLevel="1">
      <c r="A9" t="s">
        <v>282</v>
      </c>
      <c r="B9" s="6" t="s">
        <v>6</v>
      </c>
      <c r="C9" s="7" t="s">
        <v>7</v>
      </c>
      <c r="D9" s="8">
        <v>750</v>
      </c>
    </row>
    <row r="10" spans="1:9" hidden="1" outlineLevel="1">
      <c r="A10" t="s">
        <v>283</v>
      </c>
      <c r="B10" s="6" t="s">
        <v>8</v>
      </c>
      <c r="C10" s="7" t="s">
        <v>7</v>
      </c>
      <c r="D10" s="8">
        <v>500</v>
      </c>
    </row>
    <row r="11" spans="1:9" ht="15.75" hidden="1" outlineLevel="1">
      <c r="A11" s="192"/>
      <c r="B11" s="192"/>
      <c r="C11" s="192"/>
      <c r="D11" s="192"/>
    </row>
    <row r="12" spans="1:9" hidden="1" outlineLevel="1">
      <c r="A12" s="26"/>
      <c r="B12" s="26"/>
      <c r="C12" s="39"/>
      <c r="D12" s="38"/>
    </row>
    <row r="13" spans="1:9" hidden="1" outlineLevel="1">
      <c r="A13" s="26"/>
      <c r="B13" s="26"/>
      <c r="C13" s="39"/>
      <c r="D13" s="38"/>
    </row>
    <row r="14" spans="1:9" hidden="1" outlineLevel="1">
      <c r="A14" s="26"/>
      <c r="B14" s="26"/>
      <c r="C14" s="39"/>
      <c r="D14" s="38"/>
    </row>
    <row r="15" spans="1:9" collapsed="1">
      <c r="A15" s="187" t="s">
        <v>284</v>
      </c>
      <c r="B15" s="188"/>
      <c r="C15" s="188"/>
      <c r="D15" s="188"/>
      <c r="E15" s="188"/>
      <c r="F15" s="35"/>
      <c r="G15" s="35"/>
      <c r="H15" s="35"/>
    </row>
    <row r="16" spans="1:9">
      <c r="A16" s="9"/>
      <c r="B16" s="9"/>
      <c r="C16" s="10" t="s">
        <v>9</v>
      </c>
      <c r="D16" s="10" t="s">
        <v>33</v>
      </c>
      <c r="E16" s="9"/>
      <c r="F16" s="9"/>
      <c r="G16" s="9"/>
      <c r="H16" s="9"/>
    </row>
    <row r="17" spans="1:8" ht="15.75">
      <c r="A17" s="192" t="s">
        <v>15</v>
      </c>
      <c r="B17" s="192"/>
      <c r="C17" s="192"/>
      <c r="D17" s="192"/>
      <c r="E17" s="36"/>
      <c r="F17" s="30"/>
      <c r="G17" s="30"/>
      <c r="H17" s="30"/>
    </row>
    <row r="18" spans="1:8">
      <c r="A18" s="21" t="s">
        <v>285</v>
      </c>
      <c r="B18" s="21" t="s">
        <v>286</v>
      </c>
      <c r="C18" s="147">
        <v>0</v>
      </c>
      <c r="D18" s="22">
        <f>C18*D13</f>
        <v>0</v>
      </c>
      <c r="E18" s="21"/>
      <c r="F18" s="22">
        <f>$D$13*$C$18</f>
        <v>0</v>
      </c>
      <c r="G18" s="22">
        <f>($D$13*$C$18)*(1-G4)</f>
        <v>0</v>
      </c>
      <c r="H18" s="22">
        <f>($D$13*$C$18)*(1-H4)</f>
        <v>0</v>
      </c>
    </row>
    <row r="19" spans="1:8">
      <c r="A19" s="21" t="s">
        <v>287</v>
      </c>
      <c r="B19" s="21" t="s">
        <v>288</v>
      </c>
      <c r="C19" s="147">
        <v>0</v>
      </c>
      <c r="D19" s="22">
        <f>C19*D14</f>
        <v>0</v>
      </c>
      <c r="E19" s="21"/>
      <c r="F19" s="22">
        <f>$D$14*$C$19</f>
        <v>0</v>
      </c>
      <c r="G19" s="22">
        <f>($D$14*$C$19)*(1-G4)</f>
        <v>0</v>
      </c>
      <c r="H19" s="22">
        <f>($D$14*$C$19)*(1-H4)</f>
        <v>0</v>
      </c>
    </row>
    <row r="20" spans="1:8" ht="15.75">
      <c r="A20" s="192" t="s">
        <v>31</v>
      </c>
      <c r="B20" s="192"/>
      <c r="C20" s="192"/>
      <c r="D20" s="192"/>
      <c r="E20" s="36"/>
      <c r="F20" s="30"/>
      <c r="G20" s="30"/>
      <c r="H20" s="30"/>
    </row>
    <row r="21" spans="1:8">
      <c r="A21" s="9" t="s">
        <v>279</v>
      </c>
      <c r="B21" s="20" t="s">
        <v>3</v>
      </c>
      <c r="C21" s="147">
        <v>0</v>
      </c>
      <c r="D21" s="12">
        <f>D4*C21</f>
        <v>0</v>
      </c>
      <c r="E21" s="9"/>
      <c r="F21" s="12">
        <f>$D$4*$C$21</f>
        <v>0</v>
      </c>
      <c r="G21" s="12">
        <f>$D$4*$C$21</f>
        <v>0</v>
      </c>
      <c r="H21" s="12">
        <f>IF(C21&gt;0,($D$4*$C$21+C21)*(1-H4),0)</f>
        <v>0</v>
      </c>
    </row>
    <row r="22" spans="1:8">
      <c r="A22" s="9" t="s">
        <v>280</v>
      </c>
      <c r="B22" s="20" t="s">
        <v>21</v>
      </c>
      <c r="C22" s="147">
        <v>0</v>
      </c>
      <c r="D22" s="12">
        <f>D5*C22</f>
        <v>0</v>
      </c>
      <c r="E22" s="9"/>
      <c r="F22" s="12">
        <f>$D$5*$C$22</f>
        <v>0</v>
      </c>
      <c r="G22" s="12">
        <f>($D$5*$C$22)*(1-G4)</f>
        <v>0</v>
      </c>
      <c r="H22" s="12">
        <f>($D$5*$C$22)*(1-H4)</f>
        <v>0</v>
      </c>
    </row>
    <row r="23" spans="1:8">
      <c r="A23" s="9" t="s">
        <v>281</v>
      </c>
      <c r="B23" s="9" t="s">
        <v>120</v>
      </c>
      <c r="C23" s="147">
        <v>0</v>
      </c>
      <c r="D23" s="12">
        <f>D6*C23</f>
        <v>0</v>
      </c>
      <c r="E23" s="9"/>
      <c r="F23" s="12">
        <f>$D$6*$C$23</f>
        <v>0</v>
      </c>
      <c r="G23" s="12">
        <f>($D$6*$C$23)*(1-G4)</f>
        <v>0</v>
      </c>
      <c r="H23" s="12">
        <f>($D$6*$C$23)*(1-H4)</f>
        <v>0</v>
      </c>
    </row>
    <row r="24" spans="1:8">
      <c r="A24" s="9" t="s">
        <v>282</v>
      </c>
      <c r="B24" s="20" t="s">
        <v>6</v>
      </c>
      <c r="C24" s="10">
        <v>0</v>
      </c>
      <c r="D24" s="12">
        <f>SUM(D25:D29)</f>
        <v>0</v>
      </c>
      <c r="E24" s="9"/>
      <c r="F24" s="12">
        <f>SUM(F25:F29)</f>
        <v>0</v>
      </c>
      <c r="G24" s="12">
        <f>SUM(G25:G29)</f>
        <v>0</v>
      </c>
      <c r="H24" s="12">
        <f>SUM(H25:H29)</f>
        <v>0</v>
      </c>
    </row>
    <row r="25" spans="1:8">
      <c r="A25" s="9"/>
      <c r="B25" s="20" t="s">
        <v>79</v>
      </c>
      <c r="C25" s="147">
        <v>0</v>
      </c>
      <c r="D25" s="153">
        <f>IF(AND('Configure Products'!C21=0),0,IF(C25=0,0,$D$9*(C25-1)))</f>
        <v>0</v>
      </c>
      <c r="E25" s="154"/>
      <c r="F25" s="153">
        <f>D25</f>
        <v>0</v>
      </c>
      <c r="G25" s="153">
        <f>D25*(1-$G$4)</f>
        <v>0</v>
      </c>
      <c r="H25" s="153">
        <f>D25*(1-$H$4)</f>
        <v>0</v>
      </c>
    </row>
    <row r="26" spans="1:8">
      <c r="A26" s="9"/>
      <c r="B26" s="20" t="s">
        <v>80</v>
      </c>
      <c r="C26" s="147">
        <v>0</v>
      </c>
      <c r="D26" s="153">
        <f>IF(AND('Configure Products'!C21=0,'Configure Products'!C18=0,'Configure Products'!C19=0),0,IF(C26=0,0,$D$9*(C26-1)))</f>
        <v>0</v>
      </c>
      <c r="E26" s="154"/>
      <c r="F26" s="153">
        <f t="shared" ref="F26:F29" si="0">D26</f>
        <v>0</v>
      </c>
      <c r="G26" s="153">
        <f t="shared" ref="G26:G29" si="1">D26*(1-$G$4)</f>
        <v>0</v>
      </c>
      <c r="H26" s="153">
        <f t="shared" ref="H26:H29" si="2">D26*(1-$H$4)</f>
        <v>0</v>
      </c>
    </row>
    <row r="27" spans="1:8">
      <c r="A27" s="9"/>
      <c r="B27" s="20" t="s">
        <v>81</v>
      </c>
      <c r="C27" s="147">
        <v>0</v>
      </c>
      <c r="D27" s="153">
        <f>IF(AND('Configure Products'!C21=0,'Configure Products'!C18=0,'Configure Products'!C19=0),0,IF(C27=0,0,$D$9*(C27-1)))</f>
        <v>0</v>
      </c>
      <c r="E27" s="154"/>
      <c r="F27" s="153">
        <f t="shared" si="0"/>
        <v>0</v>
      </c>
      <c r="G27" s="153">
        <f t="shared" si="1"/>
        <v>0</v>
      </c>
      <c r="H27" s="153">
        <f t="shared" si="2"/>
        <v>0</v>
      </c>
    </row>
    <row r="28" spans="1:8">
      <c r="A28" s="9"/>
      <c r="B28" s="20" t="s">
        <v>82</v>
      </c>
      <c r="C28" s="147">
        <v>0</v>
      </c>
      <c r="D28" s="153">
        <f>IF(AND('Configure Products'!C21=0,'Configure Products'!C18=0,'Configure Products'!C19=0),0,IF(C28=0,0,$D$9*(C28-1)))</f>
        <v>0</v>
      </c>
      <c r="E28" s="154"/>
      <c r="F28" s="153">
        <f t="shared" si="0"/>
        <v>0</v>
      </c>
      <c r="G28" s="153">
        <f t="shared" si="1"/>
        <v>0</v>
      </c>
      <c r="H28" s="153">
        <f t="shared" si="2"/>
        <v>0</v>
      </c>
    </row>
    <row r="29" spans="1:8">
      <c r="A29" s="9"/>
      <c r="B29" s="20" t="s">
        <v>83</v>
      </c>
      <c r="C29" s="147">
        <v>0</v>
      </c>
      <c r="D29" s="153">
        <f>IF(AND('Configure Products'!C21=0,'Configure Products'!C18=0,'Configure Products'!C19=0),0,IF(C29=0,0,$D$9*(C29-1)))</f>
        <v>0</v>
      </c>
      <c r="E29" s="154"/>
      <c r="F29" s="153">
        <f t="shared" si="0"/>
        <v>0</v>
      </c>
      <c r="G29" s="153">
        <f t="shared" si="1"/>
        <v>0</v>
      </c>
      <c r="H29" s="153">
        <f t="shared" si="2"/>
        <v>0</v>
      </c>
    </row>
    <row r="30" spans="1:8">
      <c r="A30" s="9" t="s">
        <v>283</v>
      </c>
      <c r="B30" s="20" t="s">
        <v>8</v>
      </c>
      <c r="C30" s="147">
        <v>0</v>
      </c>
      <c r="D30" s="12">
        <f>IF(C30=0,0,D10*(C30-1))</f>
        <v>0</v>
      </c>
      <c r="E30" s="9"/>
      <c r="F30" s="12">
        <f>D30</f>
        <v>0</v>
      </c>
      <c r="G30" s="12">
        <f>D30*(1-G4)</f>
        <v>0</v>
      </c>
      <c r="H30" s="12">
        <f>D30*(1-H4)</f>
        <v>0</v>
      </c>
    </row>
    <row r="31" spans="1:8" s="37" customFormat="1">
      <c r="A31" s="150"/>
      <c r="B31" s="150" t="s">
        <v>32</v>
      </c>
      <c r="C31" s="151"/>
      <c r="D31" s="152">
        <f>SUM(D18:D24)+D30</f>
        <v>0</v>
      </c>
      <c r="E31" s="150"/>
      <c r="F31" s="152">
        <f>SUM(F18:F24)+F30</f>
        <v>0</v>
      </c>
      <c r="G31" s="152">
        <f>SUM(G18:G24)+G30</f>
        <v>0</v>
      </c>
      <c r="H31" s="152">
        <f>SUM(H18:H24)+H30</f>
        <v>0</v>
      </c>
    </row>
    <row r="32" spans="1:8" ht="7.5" customHeight="1">
      <c r="A32" s="41"/>
      <c r="B32" s="41"/>
      <c r="C32" s="42"/>
      <c r="D32" s="43"/>
      <c r="E32" s="41"/>
      <c r="F32" s="41"/>
      <c r="G32" s="41"/>
      <c r="H32" s="41"/>
    </row>
    <row r="33" spans="1:8">
      <c r="A33" s="13"/>
      <c r="B33" s="13"/>
      <c r="C33" s="11" t="s">
        <v>10</v>
      </c>
      <c r="D33" s="14"/>
      <c r="E33" s="15" t="s">
        <v>11</v>
      </c>
      <c r="F33" s="13"/>
      <c r="G33" s="13"/>
      <c r="H33" s="13"/>
    </row>
    <row r="34" spans="1:8">
      <c r="A34" s="13" t="s">
        <v>85</v>
      </c>
      <c r="B34" s="13"/>
      <c r="C34" s="147">
        <v>1</v>
      </c>
      <c r="D34" s="14">
        <f>IF(C34=0,0,D31*(1*E34))</f>
        <v>0</v>
      </c>
      <c r="E34" s="16">
        <v>0.1</v>
      </c>
      <c r="F34" s="14">
        <f>IF($C$34=0,0,(1*$F$31*$E$34))</f>
        <v>0</v>
      </c>
      <c r="G34" s="14">
        <f>IF($C$34=0,0,(1*$G$31*$E$34))</f>
        <v>0</v>
      </c>
      <c r="H34" s="14">
        <f>IF($C$34=0,0,(1*$H$31*$E$34))</f>
        <v>0</v>
      </c>
    </row>
    <row r="35" spans="1:8">
      <c r="A35" s="13" t="s">
        <v>12</v>
      </c>
      <c r="B35" s="13"/>
      <c r="C35" s="147">
        <v>1</v>
      </c>
      <c r="D35" s="14">
        <f>IF(C35=0,0,D31*(1*E35))</f>
        <v>0</v>
      </c>
      <c r="E35" s="16">
        <v>0.2</v>
      </c>
      <c r="F35" s="14">
        <f>IF($C$35=0,0,(1*$F$31*$E$35))</f>
        <v>0</v>
      </c>
      <c r="G35" s="14">
        <f>IF($C$35=0,0,(1*$G$31*$E$35))</f>
        <v>0</v>
      </c>
      <c r="H35" s="14">
        <f>IF($C$35=0,0,(1*$H$31*$E$35))</f>
        <v>0</v>
      </c>
    </row>
    <row r="36" spans="1:8">
      <c r="A36" s="13" t="s">
        <v>13</v>
      </c>
      <c r="B36" s="13"/>
      <c r="C36" s="147">
        <v>0</v>
      </c>
      <c r="D36" s="14">
        <f>IF(C36=0,0,(C36*D31*E36)-D31)</f>
        <v>0</v>
      </c>
      <c r="E36" s="16">
        <v>2.5</v>
      </c>
      <c r="F36" s="14">
        <f>IF($C$36=0,0,(1*$F$31*$E$36)-$F$31)</f>
        <v>0</v>
      </c>
      <c r="G36" s="14">
        <f>IF($C$36=0,0,(1*$G$31*$E$36)-$G$31)</f>
        <v>0</v>
      </c>
      <c r="H36" s="14">
        <f>IF($C$36=0,0,(1*$H$31*$E$36)-$H$31)</f>
        <v>0</v>
      </c>
    </row>
    <row r="37" spans="1:8" s="19" customFormat="1" ht="18.75">
      <c r="A37" s="17"/>
      <c r="B37" s="17" t="s">
        <v>14</v>
      </c>
      <c r="C37" s="17"/>
      <c r="D37" s="18">
        <f>SUM(D31:D36)</f>
        <v>0</v>
      </c>
      <c r="E37" s="17"/>
      <c r="F37" s="18">
        <f>SUM(F31:F36)</f>
        <v>0</v>
      </c>
      <c r="G37" s="18">
        <f>SUM(G31:G36)</f>
        <v>0</v>
      </c>
      <c r="H37" s="18">
        <f t="shared" ref="H37" si="3">SUM(H31:H36)</f>
        <v>0</v>
      </c>
    </row>
  </sheetData>
  <mergeCells count="7">
    <mergeCell ref="A15:E15"/>
    <mergeCell ref="F1:H1"/>
    <mergeCell ref="A17:D17"/>
    <mergeCell ref="A20:D20"/>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workbookViewId="0">
      <selection activeCell="M28" sqref="M28"/>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7" t="s">
        <v>34</v>
      </c>
    </row>
    <row r="3" spans="1:8">
      <c r="A3" s="23"/>
      <c r="B3" s="23"/>
      <c r="C3" s="23"/>
      <c r="D3" s="23"/>
      <c r="E3" s="23"/>
      <c r="F3" s="23"/>
      <c r="G3" s="23"/>
      <c r="H3" s="23"/>
    </row>
    <row r="4" spans="1:8">
      <c r="A4" s="23"/>
      <c r="B4" s="23"/>
      <c r="C4" s="23"/>
      <c r="D4" s="23"/>
      <c r="E4" s="23"/>
      <c r="F4" s="23"/>
      <c r="G4" s="23"/>
      <c r="H4" s="23"/>
    </row>
    <row r="5" spans="1:8" s="124" customFormat="1" ht="12">
      <c r="B5" s="124" t="s">
        <v>42</v>
      </c>
      <c r="G5" s="125" t="s">
        <v>45</v>
      </c>
      <c r="H5" s="126">
        <f ca="1">TODAY()</f>
        <v>40711</v>
      </c>
    </row>
    <row r="6" spans="1:8" s="124" customFormat="1" ht="12">
      <c r="B6" s="124" t="s">
        <v>43</v>
      </c>
      <c r="G6" s="125" t="s">
        <v>35</v>
      </c>
      <c r="H6" s="127">
        <f ca="1">TODAY()-39000</f>
        <v>1711</v>
      </c>
    </row>
    <row r="7" spans="1:8" s="124" customFormat="1" ht="12">
      <c r="B7" s="124" t="s">
        <v>44</v>
      </c>
      <c r="G7" s="125" t="s">
        <v>36</v>
      </c>
      <c r="H7" s="148"/>
    </row>
    <row r="8" spans="1:8" s="124" customFormat="1" ht="12">
      <c r="G8" s="128"/>
    </row>
    <row r="9" spans="1:8" s="124" customFormat="1" ht="12">
      <c r="B9" s="129" t="s">
        <v>37</v>
      </c>
      <c r="G9" s="125" t="s">
        <v>46</v>
      </c>
      <c r="H9" s="126">
        <f ca="1">TODAY() + 30</f>
        <v>40741</v>
      </c>
    </row>
    <row r="10" spans="1:8" s="124" customFormat="1" ht="12">
      <c r="B10" s="148" t="s">
        <v>47</v>
      </c>
      <c r="C10" s="148" t="s">
        <v>48</v>
      </c>
      <c r="D10" s="148"/>
      <c r="E10" s="148"/>
      <c r="F10" s="148"/>
      <c r="G10" s="125" t="s">
        <v>38</v>
      </c>
      <c r="H10" s="148"/>
    </row>
    <row r="11" spans="1:8" s="124" customFormat="1" ht="12">
      <c r="B11" s="148" t="s">
        <v>39</v>
      </c>
      <c r="C11" s="148"/>
      <c r="D11" s="148"/>
      <c r="E11" s="148"/>
      <c r="F11" s="148"/>
      <c r="G11" s="128"/>
    </row>
    <row r="12" spans="1:8" s="124" customFormat="1" ht="12">
      <c r="B12" s="148" t="s">
        <v>39</v>
      </c>
      <c r="C12" s="148"/>
      <c r="D12" s="148"/>
      <c r="E12" s="148"/>
      <c r="F12" s="148"/>
      <c r="G12" s="128"/>
    </row>
    <row r="13" spans="1:8" s="124" customFormat="1" ht="12">
      <c r="B13" s="148" t="s">
        <v>49</v>
      </c>
      <c r="C13" s="148"/>
      <c r="D13" s="148"/>
      <c r="E13" s="148" t="s">
        <v>50</v>
      </c>
      <c r="F13" s="148"/>
      <c r="G13" s="128"/>
    </row>
    <row r="14" spans="1:8" s="124" customFormat="1" ht="12">
      <c r="B14" s="148" t="s">
        <v>51</v>
      </c>
      <c r="C14" s="148"/>
      <c r="D14" s="148"/>
      <c r="E14" s="148"/>
      <c r="F14" s="148"/>
      <c r="G14" s="128"/>
    </row>
    <row r="15" spans="1:8" ht="6.75" customHeight="1"/>
    <row r="16" spans="1:8">
      <c r="B16" s="46" t="s">
        <v>40</v>
      </c>
    </row>
    <row r="17" spans="1:8">
      <c r="A17" s="48"/>
      <c r="B17" s="149"/>
      <c r="C17" s="149"/>
      <c r="D17" s="149"/>
      <c r="E17" s="149"/>
      <c r="F17" s="149"/>
      <c r="G17" s="149"/>
      <c r="H17" s="149"/>
    </row>
    <row r="18" spans="1:8">
      <c r="A18" s="48"/>
      <c r="B18" s="149"/>
      <c r="C18" s="149"/>
      <c r="D18" s="149"/>
      <c r="E18" s="149"/>
      <c r="F18" s="149"/>
      <c r="G18" s="149"/>
      <c r="H18" s="149"/>
    </row>
    <row r="19" spans="1:8">
      <c r="A19" s="23"/>
      <c r="B19" s="23" t="str">
        <f>IF('Configure Products'!F1=0,"Standard Quotation",IF('Configure Products'!F1=2,"Academic Quotation"))</f>
        <v>Standard Quotation</v>
      </c>
      <c r="C19" s="23"/>
      <c r="D19" s="23"/>
      <c r="E19" s="23"/>
      <c r="F19" s="23"/>
      <c r="G19" s="23"/>
      <c r="H19" s="23"/>
    </row>
    <row r="20" spans="1:8">
      <c r="A20" s="41"/>
      <c r="B20" s="122" t="s">
        <v>84</v>
      </c>
      <c r="C20" s="41"/>
      <c r="D20" s="41"/>
      <c r="E20" s="41"/>
      <c r="F20" s="41"/>
      <c r="G20" s="41"/>
      <c r="H20" s="41"/>
    </row>
    <row r="21" spans="1:8">
      <c r="A21" s="48"/>
      <c r="B21" s="48" t="s">
        <v>77</v>
      </c>
      <c r="C21" s="48"/>
      <c r="D21" s="48" t="s">
        <v>0</v>
      </c>
      <c r="E21" s="48"/>
      <c r="F21" s="48"/>
      <c r="G21" s="123" t="s">
        <v>9</v>
      </c>
      <c r="H21" s="123" t="s">
        <v>41</v>
      </c>
    </row>
    <row r="22" spans="1:8">
      <c r="A22" s="48"/>
      <c r="B22" s="134"/>
      <c r="C22" s="48"/>
      <c r="D22" s="138"/>
      <c r="E22" s="48"/>
      <c r="F22" s="48"/>
      <c r="G22" s="139"/>
      <c r="H22" s="140"/>
    </row>
    <row r="23" spans="1:8">
      <c r="B23" s="37" t="str">
        <f>IF('Configure Products'!C21=0,"", CONCATENATE(Skews!A9))</f>
        <v/>
      </c>
      <c r="D23" s="131" t="str">
        <f>IF('Configure Products'!C21=0,"", CONCATENATE('Configure Products'!B21))</f>
        <v/>
      </c>
      <c r="G23" s="45" t="str">
        <f>IF('Configure Products'!C21=0,"", 'Configure Products'!C21)</f>
        <v/>
      </c>
      <c r="H23" s="29" t="str">
        <f>IF('Configure Products'!C21=0,"",IF('Configure Products'!F1=0,'Configure Products'!F21,IF('Configure Products'!F1=1,'Configure Products'!G21,IF('Configure Products'!F1=2,'Configure Products'!H21))))</f>
        <v/>
      </c>
    </row>
    <row r="24" spans="1:8">
      <c r="A24" s="35"/>
      <c r="B24" s="132" t="str">
        <f>IF('Configure Products'!C22=0,"", CONCATENATE(Skews!A63))</f>
        <v/>
      </c>
      <c r="C24" s="35"/>
      <c r="D24" s="4" t="str">
        <f>IF('Configure Products'!C22=0,"", CONCATENATE('Configure Products'!B22))</f>
        <v/>
      </c>
      <c r="E24" s="35"/>
      <c r="F24" s="35"/>
      <c r="G24" s="44" t="str">
        <f>IF('Configure Products'!C22=0,"", 'Configure Products'!C22)</f>
        <v/>
      </c>
      <c r="H24" s="133" t="str">
        <f>IF('Configure Products'!C22=0,"",IF('Configure Products'!F1=0,'Configure Products'!F22,IF('Configure Products'!F1=1,'Configure Products'!G22,IF('Configure Products'!F1=2,'Configure Products'!H22))))</f>
        <v/>
      </c>
    </row>
    <row r="25" spans="1:8">
      <c r="B25" s="37" t="str">
        <f>IF('Configure Products'!C22=0,"", CONCATENATE(Skews!A67))</f>
        <v/>
      </c>
      <c r="D25" s="131" t="str">
        <f>IF('Configure Products'!C22=0,"", CONCATENATE('Configure Products'!B23))</f>
        <v/>
      </c>
      <c r="G25" s="45" t="str">
        <f>IF('Configure Products'!C22=0,"", 'Configure Products'!C22)</f>
        <v/>
      </c>
      <c r="H25" s="133" t="str">
        <f>IF('Configure Products'!C23=0,"",IF('Configure Products'!F1=0,'Configure Products'!F23,IF('Configure Products'!F1=1,'Configure Products'!G23,IF('Configure Products'!F1=2,'Configure Products'!H23))))</f>
        <v/>
      </c>
    </row>
    <row r="26" spans="1:8">
      <c r="A26" s="35"/>
      <c r="B26" s="132"/>
      <c r="C26" s="35"/>
      <c r="D26" s="4"/>
      <c r="E26" s="35"/>
      <c r="F26" s="35"/>
      <c r="G26" s="44"/>
      <c r="H26" s="133"/>
    </row>
    <row r="27" spans="1:8" s="26" customFormat="1">
      <c r="B27" s="27" t="str">
        <f>IF('Configure Products'!C18=0,"", CONCATENATE(Skews!#REF!))</f>
        <v/>
      </c>
      <c r="D27" s="5" t="str">
        <f>IF('Configure Products'!C18=0,"", CONCATENATE('Configure Products'!B18))</f>
        <v/>
      </c>
      <c r="G27" s="141" t="str">
        <f>IF('Configure Products'!C18=0,"", 'Configure Products'!C18)</f>
        <v/>
      </c>
      <c r="H27" s="29" t="str">
        <f>IF('Configure Products'!C18=0,"",IF('Configure Products'!F1=0,'Configure Products'!F18,IF('Configure Products'!F1=1,'Configure Products'!G18,IF('Configure Products'!F1=2,'Configure Products'!H18))))</f>
        <v/>
      </c>
    </row>
    <row r="28" spans="1:8" s="26" customFormat="1">
      <c r="A28" s="35"/>
      <c r="B28" s="132" t="str">
        <f>IF('Configure Products'!C19=0,"", CONCATENATE(Skews!#REF!))</f>
        <v/>
      </c>
      <c r="C28" s="35"/>
      <c r="D28" s="4" t="str">
        <f>IF('Configure Products'!C19=0,"", CONCATENATE('Configure Products'!B19))</f>
        <v/>
      </c>
      <c r="E28" s="35"/>
      <c r="F28" s="35"/>
      <c r="G28" s="44" t="str">
        <f>IF('Configure Products'!C19=0,"", 'Configure Products'!C19)</f>
        <v/>
      </c>
      <c r="H28" s="133" t="str">
        <f>IF('Configure Products'!C19=0,"",IF('Configure Products'!F1=0,'Configure Products'!F19,IF('Configure Products'!F1=1,'Configure Products'!G19,IF('Configure Products'!F1=2,'Configure Products'!H19))))</f>
        <v/>
      </c>
    </row>
    <row r="29" spans="1:8">
      <c r="A29" s="41"/>
      <c r="B29" s="122" t="s">
        <v>78</v>
      </c>
      <c r="C29" s="41"/>
      <c r="D29" s="41"/>
      <c r="E29" s="41"/>
      <c r="F29" s="41"/>
      <c r="G29" s="41"/>
      <c r="H29" s="130" t="str">
        <f>IF(AND('Configure Products'!C21=0,'Configure Products'!C18=0,'Configure Products'!C19=0),"",IF('Configure Products'!C24=0,"",IF('Configure Products'!F1=0,'Configure Products'!F24,IF('Configure Products'!F1=1,'Configure Products'!G24,IF('Configure Products'!F1=2,'Configure Products'!H24)))))</f>
        <v/>
      </c>
    </row>
    <row r="30" spans="1:8">
      <c r="A30" s="135"/>
      <c r="B30" s="136" t="str">
        <f>IF(AND('Configure Products'!C21=0,'Configure Products'!C18=0,'Configure Products'!C19=0),"",IF('Configure Products'!C25=0,"",IF('Configure Products'!C25=1,"Included",IF('Configure Products'!C25=2, CONCATENATE(Skews!A12),IF('Configure Products'!C25=3, CONCATENATE(Skews!A13), IF('Configure Products'!C25=4, CONCATENATE(Skews!A14), IF('Configure Products'!C25=5, CONCATENATE(Skews!A15), IF('Configure Products'!C25=6, CONCATENATE(Skews!A16), IF('Configure Products'!C25=7, CONCATENATE(Skews!A17), IF('Configure Products'!C25=8, CONCATENATE(Skews!A18), IF('Configure Products'!C25&gt;8, "error - upto 8 GPUs only")))))))))))</f>
        <v/>
      </c>
      <c r="C30" s="135"/>
      <c r="D30" s="135" t="str">
        <f>IF(AND('Configure Products'!C21=0,'Configure Products'!C18=0,'Configure Products'!C19=0),"",IF('Configure Products'!C25=0,"", CONCATENATE('Configure Products'!B25)))</f>
        <v/>
      </c>
      <c r="E30" s="135"/>
      <c r="F30" s="135"/>
      <c r="G30" s="135"/>
      <c r="H30" s="135"/>
    </row>
    <row r="31" spans="1:8">
      <c r="A31" s="135"/>
      <c r="B31" s="137" t="str">
        <f>IF(AND('Configure Products'!C21&lt;2,'Configure Products'!C18=0,'Configure Products'!C19=0),"",IF('Configure Products'!C26=0,"",IF('Configure Products'!C26=1,"Included",IF('Configure Products'!C26=2, CONCATENATE(Skews!A12),IF('Configure Products'!C26=3, CONCATENATE(Skews!A13), IF('Configure Products'!C26=4, CONCATENATE(Skews!A14), IF('Configure Products'!C26=5, CONCATENATE(Skews!A15), IF('Configure Products'!C26=6, CONCATENATE(Skews!A16), IF('Configure Products'!C26=7, CONCATENATE(Skews!A17), IF('Configure Products'!C26=8, CONCATENATE(Skews!A18), IF('Configure Products'!C26&gt;8, "error - upto 8 GPUs only")))))))))))</f>
        <v/>
      </c>
      <c r="C31" s="135"/>
      <c r="D31" s="135" t="str">
        <f>IF(AND('Configure Products'!C21&lt;2,'Configure Products'!C18=0,'Configure Products'!C19=0),"",IF('Configure Products'!C26=0,"",CONCATENATE('Configure Products'!B26)))</f>
        <v/>
      </c>
      <c r="E31" s="135"/>
      <c r="F31" s="135"/>
      <c r="G31" s="135"/>
      <c r="H31" s="135"/>
    </row>
    <row r="32" spans="1:8">
      <c r="A32" s="135"/>
      <c r="B32" s="137" t="str">
        <f>IF(AND('Configure Products'!C21&lt;3,'Configure Products'!C18=0,'Configure Products'!C19=0),"",IF('Configure Products'!C27=0,"",IF('Configure Products'!C27=1,"Included",IF('Configure Products'!C27=2, CONCATENATE(Skews!A12),IF('Configure Products'!C27=3, CONCATENATE(Skews!A13), IF('Configure Products'!C27=4, CONCATENATE(Skews!A14), IF('Configure Products'!C27=5, CONCATENATE(Skews!A15), IF('Configure Products'!C27=6, CONCATENATE(Skews!A16), IF('Configure Products'!C27=7, CONCATENATE(Skews!A17), IF('Configure Products'!C27=8, CONCATENATE(Skews!A18), IF('Configure Products'!C27&gt;8, "error - upto 8 GPUs only")))))))))))</f>
        <v/>
      </c>
      <c r="C32" s="135"/>
      <c r="D32" s="135" t="str">
        <f>IF(AND('Configure Products'!C21&lt;3,'Configure Products'!C18=0,'Configure Products'!C19=0),"",IF('Configure Products'!C27=0,"",IF('Configure Products'!C27=0,"", CONCATENATE('Configure Products'!B27))))</f>
        <v/>
      </c>
      <c r="E32" s="135"/>
      <c r="F32" s="135"/>
      <c r="G32" s="135"/>
      <c r="H32" s="135"/>
    </row>
    <row r="33" spans="1:8">
      <c r="A33" s="135"/>
      <c r="B33" s="137" t="str">
        <f>IF(AND('Configure Products'!C21&lt;4,'Configure Products'!C18=0,'Configure Products'!C19=0),"",IF('Configure Products'!C28=0,"",IF('Configure Products'!C28=1,"Included",IF('Configure Products'!C28=2, CONCATENATE(Skews!A12),IF('Configure Products'!C28=3, CONCATENATE(Skews!A13), IF('Configure Products'!C28=4, CONCATENATE(Skews!A14), IF('Configure Products'!C28=5, CONCATENATE(Skews!A15), IF('Configure Products'!C28=6, CONCATENATE(Skews!A16), IF('Configure Products'!C28=7, CONCATENATE(Skews!A17), IF('Configure Products'!C28=8, CONCATENATE(Skews!A18), IF('Configure Products'!C28&gt;8, "error - upto 8 GPUs only")))))))))))</f>
        <v/>
      </c>
      <c r="C33" s="135"/>
      <c r="D33" s="135" t="str">
        <f>IF(AND('Configure Products'!C21&lt;4,'Configure Products'!C18=0,'Configure Products'!C19=0),"",IF('Configure Products'!C28=0,"",IF('Configure Products'!C28=0,"", CONCATENATE('Configure Products'!B28))))</f>
        <v/>
      </c>
      <c r="E33" s="135"/>
      <c r="F33" s="135"/>
      <c r="G33" s="135"/>
      <c r="H33" s="135"/>
    </row>
    <row r="34" spans="1:8">
      <c r="A34" s="135"/>
      <c r="B34" s="137" t="str">
        <f>IF(AND('Configure Products'!C21&lt;5,'Configure Products'!C18=0,'Configure Products'!C19=0),"",IF('Configure Products'!C29=0,"",IF('Configure Products'!C29=1,"Included",IF('Configure Products'!C29=2, CONCATENATE(Skews!A12),IF('Configure Products'!C29=3, CONCATENATE(Skews!A13), IF('Configure Products'!C29=4, CONCATENATE(Skews!A14), IF('Configure Products'!C29=5, CONCATENATE(Skews!A15), IF('Configure Products'!C29=6, CONCATENATE(Skews!A16), IF('Configure Products'!C29=7, CONCATENATE(Skews!A17), IF('Configure Products'!C29=8, CONCATENATE(Skews!A18), IF('Configure Products'!C29&gt;8, "error - upto 8 GPUS only")))))))))))</f>
        <v/>
      </c>
      <c r="C34" s="135"/>
      <c r="D34" s="135" t="str">
        <f>IF(AND('Configure Products'!C21&lt;5,'Configure Products'!C18=0,'Configure Products'!C19=0),"",IF('Configure Products'!C29=0,"",IF('Configure Products'!C29=0,"", CONCATENATE('Configure Products'!B29))))</f>
        <v/>
      </c>
      <c r="E34" s="135"/>
      <c r="F34" s="135"/>
      <c r="G34" s="135"/>
      <c r="H34" s="135"/>
    </row>
    <row r="35" spans="1:8">
      <c r="A35" s="35"/>
      <c r="B35" s="132" t="str">
        <f>IF(AND('Configure Products'!C21=0,'Configure Products'!C18=0,'Configure Products'!C19=0),"",IF('Configure Products'!C30=0, "", IF('Configure Products'!C30&lt;8,"ERROR - 8+ GPUs only",CONCATENATE("JKT-HPC",'Configure Products'!C30,"G-PER"))))</f>
        <v/>
      </c>
      <c r="C35" s="35"/>
      <c r="D35" s="35" t="str">
        <f>IF(AND('Configure Products'!C21=0,'Configure Products'!C18=0,'Configure Products'!C19=0),"",IF('Configure Products'!C21=0,"",IF('Configure Products'!C30=0,"", IF('Configure Products'!C30&lt;8,"",CONCATENATE('Configure Products'!A30," license for ", 'Configure Products'!C30, " GPU Cluster")))))</f>
        <v/>
      </c>
      <c r="E35" s="35"/>
      <c r="F35" s="35"/>
      <c r="G35" s="35"/>
      <c r="H35" s="133" t="str">
        <f>IF('Configure Products'!C30=0,"",IF('Configure Products'!C30&lt;8,"ERROR - 8+ GPUs only",IF('Configure Products'!F1=0,'Configure Products'!F30,IF('Configure Products'!F1=1,'Configure Products'!G30,IF('Configure Products'!F1=2,'Configure Products'!H30)))))</f>
        <v/>
      </c>
    </row>
    <row r="36" spans="1:8">
      <c r="A36" s="41"/>
      <c r="B36" s="122" t="s">
        <v>86</v>
      </c>
      <c r="C36" s="41"/>
      <c r="D36" s="41"/>
      <c r="E36" s="41"/>
      <c r="F36" s="41"/>
      <c r="G36" s="41"/>
      <c r="H36" s="41"/>
    </row>
    <row r="37" spans="1:8">
      <c r="A37" s="48"/>
      <c r="B37" s="134" t="str">
        <f>IF('Configure Products'!C34=0,"", CONCATENATE('Configure Products'!A34))</f>
        <v>Software Maintenance Services</v>
      </c>
      <c r="C37" s="48"/>
      <c r="D37" s="48"/>
      <c r="E37" s="48"/>
      <c r="F37" s="48"/>
      <c r="G37" s="48"/>
      <c r="H37" s="140">
        <f>IF('Configure Products'!C34=0,"",IF('Configure Products'!F1=0,'Configure Products'!F34,IF('Configure Products'!F1=1,'Configure Products'!G34,IF('Configure Products'!F1=2,'Configure Products'!H34))))</f>
        <v>0</v>
      </c>
    </row>
    <row r="38" spans="1:8">
      <c r="B38" s="27" t="str">
        <f>IF('Configure Products'!C35=0,"", CONCATENATE('Configure Products'!A35))</f>
        <v>Telephone Support</v>
      </c>
      <c r="H38" s="29">
        <f>IF('Configure Products'!C35=0,"",IF('Configure Products'!F1=0,'Configure Products'!F35,IF('Configure Products'!F1=1,'Configure Products'!G35,IF('Configure Products'!F1=2,'Configure Products'!H35))))</f>
        <v>0</v>
      </c>
    </row>
    <row r="39" spans="1:8">
      <c r="A39" s="48"/>
      <c r="B39" s="134" t="str">
        <f>IF('Configure Products'!C36=0,"", CONCATENATE('Configure Products'!A36))</f>
        <v/>
      </c>
      <c r="C39" s="48"/>
      <c r="D39" s="48"/>
      <c r="E39" s="48"/>
      <c r="F39" s="48"/>
      <c r="G39" s="48"/>
      <c r="H39" s="140" t="str">
        <f>IF('Configure Products'!C36=0,"",IF('Configure Products'!F1=0,'Configure Products'!F36,IF('Configure Products'!F1=1,'Configure Products'!G36,IF('Configure Products'!F1=2,'Configure Products'!H36))))</f>
        <v/>
      </c>
    </row>
    <row r="40" spans="1:8" ht="10.5" customHeight="1">
      <c r="A40" s="23"/>
      <c r="B40" s="23"/>
      <c r="C40" s="23"/>
      <c r="D40" s="23"/>
      <c r="E40" s="23"/>
      <c r="F40" s="23"/>
      <c r="G40" s="23"/>
      <c r="H40" s="23"/>
    </row>
    <row r="41" spans="1:8" ht="15.75">
      <c r="A41" s="142"/>
      <c r="B41" s="142" t="s">
        <v>87</v>
      </c>
      <c r="C41" s="142"/>
      <c r="D41" s="142"/>
      <c r="E41" s="142"/>
      <c r="F41" s="142"/>
      <c r="G41" s="142"/>
      <c r="H41" s="143">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D164"/>
  <sheetViews>
    <sheetView tabSelected="1" workbookViewId="0">
      <selection activeCell="B9" sqref="B9"/>
    </sheetView>
  </sheetViews>
  <sheetFormatPr defaultRowHeight="15"/>
  <cols>
    <col min="1" max="1" width="36.42578125" style="118" customWidth="1"/>
    <col min="2" max="2" width="81.7109375" customWidth="1"/>
    <col min="3" max="3" width="16" style="119" customWidth="1"/>
    <col min="4" max="4" width="16.42578125" style="121" customWidth="1"/>
  </cols>
  <sheetData>
    <row r="1" spans="1:4" s="50" customFormat="1" ht="14.25">
      <c r="A1" s="49"/>
      <c r="B1" s="49"/>
      <c r="C1" s="49"/>
    </row>
    <row r="2" spans="1:4" s="51" customFormat="1" ht="41.25" customHeight="1">
      <c r="A2" s="199" t="s">
        <v>235</v>
      </c>
      <c r="B2" s="200"/>
      <c r="C2" s="200"/>
      <c r="D2" s="200"/>
    </row>
    <row r="3" spans="1:4" s="52" customFormat="1">
      <c r="A3" s="201" t="s">
        <v>142</v>
      </c>
      <c r="B3" s="201"/>
      <c r="C3" s="201"/>
      <c r="D3" s="202"/>
    </row>
    <row r="4" spans="1:4" s="54" customFormat="1" ht="16.5" thickBot="1">
      <c r="A4" s="203" t="s">
        <v>52</v>
      </c>
      <c r="B4" s="204"/>
      <c r="C4" s="53"/>
    </row>
    <row r="5" spans="1:4" s="52" customFormat="1" ht="15.75" thickBot="1">
      <c r="A5" s="205"/>
      <c r="B5" s="206"/>
      <c r="C5" s="206"/>
      <c r="D5" s="207"/>
    </row>
    <row r="6" spans="1:4" s="52" customFormat="1" ht="18.75" customHeight="1">
      <c r="A6" s="208" t="s">
        <v>20</v>
      </c>
      <c r="B6" s="209"/>
      <c r="C6" s="54"/>
    </row>
    <row r="7" spans="1:4" s="52" customFormat="1" ht="19.5">
      <c r="A7" s="56" t="s">
        <v>3</v>
      </c>
      <c r="B7" s="55"/>
    </row>
    <row r="8" spans="1:4" s="52" customFormat="1" ht="19.5">
      <c r="A8" s="57" t="s">
        <v>17</v>
      </c>
      <c r="B8" s="58" t="s">
        <v>0</v>
      </c>
      <c r="C8" s="59" t="s">
        <v>53</v>
      </c>
      <c r="D8" s="60" t="s">
        <v>54</v>
      </c>
    </row>
    <row r="9" spans="1:4" s="52" customFormat="1" ht="107.25" customHeight="1">
      <c r="A9" s="61" t="s">
        <v>143</v>
      </c>
      <c r="B9" s="62" t="s">
        <v>292</v>
      </c>
      <c r="C9" s="63">
        <v>999</v>
      </c>
      <c r="D9" s="64">
        <v>350</v>
      </c>
    </row>
    <row r="10" spans="1:4" s="52" customFormat="1" ht="21.75" customHeight="1" thickBot="1">
      <c r="A10" s="186" t="s">
        <v>236</v>
      </c>
    </row>
    <row r="11" spans="1:4" s="52" customFormat="1" ht="21.75" customHeight="1" thickBot="1">
      <c r="A11" s="69" t="s">
        <v>17</v>
      </c>
      <c r="B11" s="70" t="s">
        <v>0</v>
      </c>
      <c r="C11" s="197" t="s">
        <v>55</v>
      </c>
      <c r="D11" s="198"/>
    </row>
    <row r="12" spans="1:4" s="52" customFormat="1" ht="73.5" customHeight="1">
      <c r="A12" s="65" t="s">
        <v>144</v>
      </c>
      <c r="B12" s="66" t="s">
        <v>157</v>
      </c>
      <c r="C12" s="71">
        <f>750*1</f>
        <v>750</v>
      </c>
      <c r="D12" s="72">
        <f t="shared" ref="D12:D24" si="0">C12-(C12*0.65)</f>
        <v>262.5</v>
      </c>
    </row>
    <row r="13" spans="1:4" s="52" customFormat="1" ht="73.5" customHeight="1">
      <c r="A13" s="73" t="s">
        <v>145</v>
      </c>
      <c r="B13" s="62" t="s">
        <v>158</v>
      </c>
      <c r="C13" s="74">
        <f>750*2</f>
        <v>1500</v>
      </c>
      <c r="D13" s="64">
        <f t="shared" si="0"/>
        <v>525</v>
      </c>
    </row>
    <row r="14" spans="1:4" s="52" customFormat="1" ht="73.5" customHeight="1">
      <c r="A14" s="75" t="s">
        <v>146</v>
      </c>
      <c r="B14" s="66" t="s">
        <v>159</v>
      </c>
      <c r="C14" s="71">
        <f>750*3</f>
        <v>2250</v>
      </c>
      <c r="D14" s="68">
        <f t="shared" si="0"/>
        <v>787.5</v>
      </c>
    </row>
    <row r="15" spans="1:4" s="52" customFormat="1" ht="16.5">
      <c r="A15" s="76" t="s">
        <v>147</v>
      </c>
      <c r="B15" s="77" t="s">
        <v>160</v>
      </c>
      <c r="C15" s="74">
        <f>750*4</f>
        <v>3000</v>
      </c>
      <c r="D15" s="64">
        <f t="shared" si="0"/>
        <v>1050</v>
      </c>
    </row>
    <row r="16" spans="1:4" s="52" customFormat="1" ht="16.5">
      <c r="A16" s="78" t="s">
        <v>148</v>
      </c>
      <c r="B16" s="79" t="s">
        <v>161</v>
      </c>
      <c r="C16" s="71">
        <f>750*5</f>
        <v>3750</v>
      </c>
      <c r="D16" s="68">
        <f t="shared" si="0"/>
        <v>1312.5</v>
      </c>
    </row>
    <row r="17" spans="1:4" s="52" customFormat="1" ht="16.5">
      <c r="A17" s="76" t="s">
        <v>149</v>
      </c>
      <c r="B17" s="77" t="s">
        <v>162</v>
      </c>
      <c r="C17" s="74">
        <f>750*6</f>
        <v>4500</v>
      </c>
      <c r="D17" s="64">
        <f t="shared" si="0"/>
        <v>1575</v>
      </c>
    </row>
    <row r="18" spans="1:4" s="52" customFormat="1" ht="16.5">
      <c r="A18" s="78" t="s">
        <v>150</v>
      </c>
      <c r="B18" s="79" t="s">
        <v>163</v>
      </c>
      <c r="C18" s="71">
        <f>750*7</f>
        <v>5250</v>
      </c>
      <c r="D18" s="68">
        <f t="shared" si="0"/>
        <v>1837.5</v>
      </c>
    </row>
    <row r="19" spans="1:4" s="52" customFormat="1" ht="33">
      <c r="A19" s="76" t="s">
        <v>151</v>
      </c>
      <c r="B19" s="77" t="s">
        <v>164</v>
      </c>
      <c r="C19" s="80">
        <f>500*11</f>
        <v>5500</v>
      </c>
      <c r="D19" s="64">
        <f t="shared" si="0"/>
        <v>1925</v>
      </c>
    </row>
    <row r="20" spans="1:4" s="52" customFormat="1" ht="33">
      <c r="A20" s="78" t="s">
        <v>152</v>
      </c>
      <c r="B20" s="79" t="s">
        <v>165</v>
      </c>
      <c r="C20" s="81">
        <f>500*15</f>
        <v>7500</v>
      </c>
      <c r="D20" s="68">
        <f t="shared" si="0"/>
        <v>2625</v>
      </c>
    </row>
    <row r="21" spans="1:4" s="52" customFormat="1" ht="33">
      <c r="A21" s="76" t="s">
        <v>153</v>
      </c>
      <c r="B21" s="77" t="s">
        <v>166</v>
      </c>
      <c r="C21" s="80">
        <f>500*31</f>
        <v>15500</v>
      </c>
      <c r="D21" s="64">
        <f t="shared" si="0"/>
        <v>5425</v>
      </c>
    </row>
    <row r="22" spans="1:4" s="52" customFormat="1" ht="33">
      <c r="A22" s="78" t="s">
        <v>154</v>
      </c>
      <c r="B22" s="79" t="s">
        <v>167</v>
      </c>
      <c r="C22" s="81">
        <f>500*63</f>
        <v>31500</v>
      </c>
      <c r="D22" s="68">
        <f t="shared" si="0"/>
        <v>11025</v>
      </c>
    </row>
    <row r="23" spans="1:4" s="52" customFormat="1" ht="33">
      <c r="A23" s="76" t="s">
        <v>155</v>
      </c>
      <c r="B23" s="77" t="s">
        <v>168</v>
      </c>
      <c r="C23" s="80">
        <f>500*127</f>
        <v>63500</v>
      </c>
      <c r="D23" s="64">
        <f t="shared" si="0"/>
        <v>22225</v>
      </c>
    </row>
    <row r="24" spans="1:4" s="52" customFormat="1" ht="33">
      <c r="A24" s="78" t="s">
        <v>156</v>
      </c>
      <c r="B24" s="79" t="s">
        <v>169</v>
      </c>
      <c r="C24" s="81">
        <f>500*255</f>
        <v>127500</v>
      </c>
      <c r="D24" s="68">
        <f t="shared" si="0"/>
        <v>44625</v>
      </c>
    </row>
    <row r="25" spans="1:4" s="50" customFormat="1" ht="14.25">
      <c r="A25" s="49"/>
      <c r="B25" s="49"/>
      <c r="C25" s="49"/>
    </row>
    <row r="26" spans="1:4" s="51" customFormat="1" ht="33.75">
      <c r="A26" s="199" t="s">
        <v>235</v>
      </c>
      <c r="B26" s="199"/>
      <c r="C26" s="199"/>
      <c r="D26" s="199"/>
    </row>
    <row r="27" spans="1:4" s="52" customFormat="1" ht="12.75">
      <c r="A27" s="201" t="s">
        <v>142</v>
      </c>
      <c r="B27" s="201"/>
      <c r="C27" s="201"/>
      <c r="D27" s="201"/>
    </row>
    <row r="28" spans="1:4" s="54" customFormat="1" ht="15.75">
      <c r="A28" s="203" t="s">
        <v>52</v>
      </c>
      <c r="B28" s="204"/>
      <c r="C28" s="53"/>
    </row>
    <row r="29" spans="1:4" s="52" customFormat="1" ht="20.25" thickBot="1">
      <c r="A29" s="82" t="s">
        <v>56</v>
      </c>
    </row>
    <row r="30" spans="1:4" s="52" customFormat="1" ht="20.25" thickBot="1">
      <c r="A30" s="69" t="s">
        <v>17</v>
      </c>
      <c r="B30" s="70" t="s">
        <v>0</v>
      </c>
      <c r="C30" s="59" t="s">
        <v>53</v>
      </c>
      <c r="D30" s="60" t="s">
        <v>54</v>
      </c>
    </row>
    <row r="31" spans="1:4" s="86" customFormat="1" ht="16.5">
      <c r="A31" s="83" t="s">
        <v>170</v>
      </c>
      <c r="B31" s="84" t="s">
        <v>237</v>
      </c>
      <c r="C31" s="85">
        <f>C9*0.1</f>
        <v>99.9</v>
      </c>
      <c r="D31" s="85">
        <f>D9*0.1</f>
        <v>35</v>
      </c>
    </row>
    <row r="32" spans="1:4" s="52" customFormat="1" ht="33">
      <c r="A32" s="87" t="s">
        <v>171</v>
      </c>
      <c r="B32" s="88" t="s">
        <v>238</v>
      </c>
      <c r="C32" s="89">
        <f>(C9+C12)*0.1</f>
        <v>174.9</v>
      </c>
      <c r="D32" s="89">
        <f>(D9+D12)*0.1</f>
        <v>61.25</v>
      </c>
    </row>
    <row r="33" spans="1:4" s="52" customFormat="1" ht="33">
      <c r="A33" s="83" t="s">
        <v>172</v>
      </c>
      <c r="B33" s="84" t="s">
        <v>239</v>
      </c>
      <c r="C33" s="85">
        <f>(C9+C13)*0.1</f>
        <v>249.9</v>
      </c>
      <c r="D33" s="85">
        <f>(D9+D13)*0.1</f>
        <v>87.5</v>
      </c>
    </row>
    <row r="34" spans="1:4" s="52" customFormat="1" ht="33">
      <c r="A34" s="87" t="s">
        <v>173</v>
      </c>
      <c r="B34" s="88" t="s">
        <v>240</v>
      </c>
      <c r="C34" s="89">
        <f>(C9+C14)*0.1</f>
        <v>324.90000000000003</v>
      </c>
      <c r="D34" s="89">
        <f>(D9+D14)*0.1</f>
        <v>113.75</v>
      </c>
    </row>
    <row r="35" spans="1:4" s="52" customFormat="1" ht="33">
      <c r="A35" s="83" t="s">
        <v>174</v>
      </c>
      <c r="B35" s="84" t="s">
        <v>241</v>
      </c>
      <c r="C35" s="85">
        <f>(C9+C15)*0.1</f>
        <v>399.90000000000003</v>
      </c>
      <c r="D35" s="85">
        <f>(D9+D15)*0.1</f>
        <v>140</v>
      </c>
    </row>
    <row r="36" spans="1:4" s="52" customFormat="1" ht="33">
      <c r="A36" s="87" t="s">
        <v>175</v>
      </c>
      <c r="B36" s="88" t="s">
        <v>242</v>
      </c>
      <c r="C36" s="89">
        <f>(C9+C16)*0.1</f>
        <v>474.90000000000003</v>
      </c>
      <c r="D36" s="89">
        <f>(D9+D16)*0.1</f>
        <v>166.25</v>
      </c>
    </row>
    <row r="37" spans="1:4" s="52" customFormat="1" ht="33">
      <c r="A37" s="83" t="s">
        <v>176</v>
      </c>
      <c r="B37" s="84" t="s">
        <v>243</v>
      </c>
      <c r="C37" s="85">
        <f>(C9+C17)*0.1</f>
        <v>549.9</v>
      </c>
      <c r="D37" s="85">
        <f>(D9+D17)*0.1</f>
        <v>192.5</v>
      </c>
    </row>
    <row r="38" spans="1:4" s="52" customFormat="1" ht="33">
      <c r="A38" s="87" t="s">
        <v>177</v>
      </c>
      <c r="B38" s="88" t="s">
        <v>244</v>
      </c>
      <c r="C38" s="89">
        <f>(C9+C18)*0.1</f>
        <v>624.90000000000009</v>
      </c>
      <c r="D38" s="89">
        <f>(D9+D18)*0.1</f>
        <v>218.75</v>
      </c>
    </row>
    <row r="39" spans="1:4" s="52" customFormat="1" ht="33">
      <c r="A39" s="83" t="s">
        <v>178</v>
      </c>
      <c r="B39" s="84" t="s">
        <v>245</v>
      </c>
      <c r="C39" s="85">
        <f>(C9+C19)*0.1</f>
        <v>649.90000000000009</v>
      </c>
      <c r="D39" s="85">
        <f>(D9+D19)*0.1</f>
        <v>227.5</v>
      </c>
    </row>
    <row r="40" spans="1:4" s="52" customFormat="1" ht="33">
      <c r="A40" s="87" t="s">
        <v>179</v>
      </c>
      <c r="B40" s="88" t="s">
        <v>246</v>
      </c>
      <c r="C40" s="89">
        <f>(C9+C20)*0.1</f>
        <v>849.90000000000009</v>
      </c>
      <c r="D40" s="89">
        <f>(D9+D20)*0.1</f>
        <v>297.5</v>
      </c>
    </row>
    <row r="41" spans="1:4" s="52" customFormat="1" ht="33">
      <c r="A41" s="83" t="s">
        <v>180</v>
      </c>
      <c r="B41" s="84" t="s">
        <v>247</v>
      </c>
      <c r="C41" s="85">
        <f>(C9+C21)*0.1</f>
        <v>1649.9</v>
      </c>
      <c r="D41" s="85">
        <f>(D9+D21)*0.1</f>
        <v>577.5</v>
      </c>
    </row>
    <row r="42" spans="1:4" s="52" customFormat="1" ht="33">
      <c r="A42" s="87" t="s">
        <v>181</v>
      </c>
      <c r="B42" s="88" t="s">
        <v>248</v>
      </c>
      <c r="C42" s="89">
        <f>(C9+C22)*0.1</f>
        <v>3249.9</v>
      </c>
      <c r="D42" s="89">
        <f>(D9+D22)*0.1</f>
        <v>1137.5</v>
      </c>
    </row>
    <row r="43" spans="1:4" s="52" customFormat="1" ht="33">
      <c r="A43" s="83" t="s">
        <v>182</v>
      </c>
      <c r="B43" s="84" t="s">
        <v>249</v>
      </c>
      <c r="C43" s="85">
        <f>(C9+C23)*0.1</f>
        <v>6449.9000000000005</v>
      </c>
      <c r="D43" s="85">
        <f>(D9+D23)*0.1</f>
        <v>2257.5</v>
      </c>
    </row>
    <row r="44" spans="1:4" s="52" customFormat="1" ht="33">
      <c r="A44" s="87" t="s">
        <v>183</v>
      </c>
      <c r="B44" s="88" t="s">
        <v>250</v>
      </c>
      <c r="C44" s="89">
        <f>(C9+C24)*0.1</f>
        <v>12849.900000000001</v>
      </c>
      <c r="D44" s="89">
        <f>(D9+D24)*0.1</f>
        <v>4497.5</v>
      </c>
    </row>
    <row r="45" spans="1:4" s="52" customFormat="1" ht="20.25" thickBot="1">
      <c r="A45" s="90" t="s">
        <v>57</v>
      </c>
    </row>
    <row r="46" spans="1:4" s="52" customFormat="1" ht="20.25" thickBot="1">
      <c r="A46" s="69" t="s">
        <v>17</v>
      </c>
      <c r="B46" s="69" t="s">
        <v>0</v>
      </c>
      <c r="C46" s="91" t="s">
        <v>53</v>
      </c>
      <c r="D46" s="92" t="s">
        <v>54</v>
      </c>
    </row>
    <row r="47" spans="1:4" s="52" customFormat="1" ht="16.5">
      <c r="A47" s="83" t="s">
        <v>184</v>
      </c>
      <c r="B47" s="84" t="s">
        <v>251</v>
      </c>
      <c r="C47" s="93">
        <f>C9*0.2</f>
        <v>199.8</v>
      </c>
      <c r="D47" s="93">
        <f t="shared" ref="D47" si="1">D9*0.2</f>
        <v>70</v>
      </c>
    </row>
    <row r="48" spans="1:4" s="52" customFormat="1" ht="16.5">
      <c r="A48" s="87" t="s">
        <v>185</v>
      </c>
      <c r="B48" s="88" t="s">
        <v>252</v>
      </c>
      <c r="C48" s="89">
        <f>(C9+C12)*0.2</f>
        <v>349.8</v>
      </c>
      <c r="D48" s="89">
        <f>(D9+D12)*0.2</f>
        <v>122.5</v>
      </c>
    </row>
    <row r="49" spans="1:4" s="52" customFormat="1" ht="16.5">
      <c r="A49" s="83" t="s">
        <v>186</v>
      </c>
      <c r="B49" s="84" t="s">
        <v>253</v>
      </c>
      <c r="C49" s="85">
        <f>(C9+C13)*0.2</f>
        <v>499.8</v>
      </c>
      <c r="D49" s="85">
        <f>(D9+D13)*0.2</f>
        <v>175</v>
      </c>
    </row>
    <row r="50" spans="1:4" s="52" customFormat="1" ht="16.5">
      <c r="A50" s="87" t="s">
        <v>187</v>
      </c>
      <c r="B50" s="88" t="s">
        <v>254</v>
      </c>
      <c r="C50" s="89">
        <f>(C9+C14)*0.2</f>
        <v>649.80000000000007</v>
      </c>
      <c r="D50" s="89">
        <f>(D9+D14)*0.2</f>
        <v>227.5</v>
      </c>
    </row>
    <row r="51" spans="1:4" s="52" customFormat="1" ht="16.5">
      <c r="A51" s="83" t="s">
        <v>188</v>
      </c>
      <c r="B51" s="84" t="s">
        <v>255</v>
      </c>
      <c r="C51" s="85">
        <f>(C9+C15)*0.2</f>
        <v>799.80000000000007</v>
      </c>
      <c r="D51" s="85">
        <f>(D9+D15)*0.2</f>
        <v>280</v>
      </c>
    </row>
    <row r="52" spans="1:4" s="52" customFormat="1" ht="16.5">
      <c r="A52" s="87" t="s">
        <v>189</v>
      </c>
      <c r="B52" s="88" t="s">
        <v>256</v>
      </c>
      <c r="C52" s="89">
        <f>(C9+C16)*0.2</f>
        <v>949.80000000000007</v>
      </c>
      <c r="D52" s="89">
        <f>(D9+D16)*0.2</f>
        <v>332.5</v>
      </c>
    </row>
    <row r="53" spans="1:4" s="52" customFormat="1" ht="16.5">
      <c r="A53" s="83" t="s">
        <v>190</v>
      </c>
      <c r="B53" s="84" t="s">
        <v>257</v>
      </c>
      <c r="C53" s="85">
        <f>(C9+C17)*0.2</f>
        <v>1099.8</v>
      </c>
      <c r="D53" s="85">
        <f>(D9+D17)*0.2</f>
        <v>385</v>
      </c>
    </row>
    <row r="54" spans="1:4" s="52" customFormat="1" ht="16.5">
      <c r="A54" s="87" t="s">
        <v>191</v>
      </c>
      <c r="B54" s="88" t="s">
        <v>258</v>
      </c>
      <c r="C54" s="89">
        <f>(C9+C18)*0.2</f>
        <v>1249.8000000000002</v>
      </c>
      <c r="D54" s="89">
        <f>(D9+D18)*0.2</f>
        <v>437.5</v>
      </c>
    </row>
    <row r="55" spans="1:4" s="52" customFormat="1" ht="16.5">
      <c r="A55" s="83" t="s">
        <v>192</v>
      </c>
      <c r="B55" s="84" t="s">
        <v>259</v>
      </c>
      <c r="C55" s="85">
        <f>(C9+C19)*0.2</f>
        <v>1299.8000000000002</v>
      </c>
      <c r="D55" s="85">
        <f>(D9+D19)*0.2</f>
        <v>455</v>
      </c>
    </row>
    <row r="56" spans="1:4" s="52" customFormat="1" ht="16.5">
      <c r="A56" s="87" t="s">
        <v>193</v>
      </c>
      <c r="B56" s="88" t="s">
        <v>260</v>
      </c>
      <c r="C56" s="89">
        <f>(C9+C20)*0.2</f>
        <v>1699.8000000000002</v>
      </c>
      <c r="D56" s="89">
        <f>(D9+D20)*0.2</f>
        <v>595</v>
      </c>
    </row>
    <row r="57" spans="1:4" s="52" customFormat="1" ht="16.5">
      <c r="A57" s="83" t="s">
        <v>194</v>
      </c>
      <c r="B57" s="84" t="s">
        <v>261</v>
      </c>
      <c r="C57" s="85">
        <f>(C9+C21)*0.2</f>
        <v>3299.8</v>
      </c>
      <c r="D57" s="85">
        <f>(D9+D21)*0.2</f>
        <v>1155</v>
      </c>
    </row>
    <row r="58" spans="1:4" s="50" customFormat="1" ht="16.5">
      <c r="A58" s="87" t="s">
        <v>195</v>
      </c>
      <c r="B58" s="88" t="s">
        <v>262</v>
      </c>
      <c r="C58" s="89">
        <f>(C9+C22)*0.2</f>
        <v>6499.8</v>
      </c>
      <c r="D58" s="89">
        <f>(D9+D22)*0.2</f>
        <v>2275</v>
      </c>
    </row>
    <row r="59" spans="1:4" s="51" customFormat="1" ht="16.5">
      <c r="A59" s="83" t="s">
        <v>196</v>
      </c>
      <c r="B59" s="84" t="s">
        <v>263</v>
      </c>
      <c r="C59" s="85">
        <f>(C9+C23)*0.2</f>
        <v>12899.800000000001</v>
      </c>
      <c r="D59" s="85">
        <f>(D9+D23)*0.2</f>
        <v>4515</v>
      </c>
    </row>
    <row r="60" spans="1:4" s="52" customFormat="1" ht="16.5">
      <c r="A60" s="87" t="s">
        <v>197</v>
      </c>
      <c r="B60" s="88" t="s">
        <v>264</v>
      </c>
      <c r="C60" s="89">
        <f>(C9+C24)*0.2</f>
        <v>25699.800000000003</v>
      </c>
      <c r="D60" s="89">
        <f>(D9+D24)*0.2</f>
        <v>8995</v>
      </c>
    </row>
    <row r="61" spans="1:4" s="52" customFormat="1" ht="24.75" thickBot="1">
      <c r="A61" s="98" t="s">
        <v>265</v>
      </c>
      <c r="B61" s="99"/>
    </row>
    <row r="62" spans="1:4" s="52" customFormat="1" ht="20.25" thickBot="1">
      <c r="A62" s="69" t="s">
        <v>17</v>
      </c>
      <c r="B62" s="69" t="s">
        <v>0</v>
      </c>
      <c r="C62" s="59" t="s">
        <v>53</v>
      </c>
      <c r="D62" s="60" t="s">
        <v>54</v>
      </c>
    </row>
    <row r="63" spans="1:4" s="52" customFormat="1" ht="16.5">
      <c r="A63" s="100" t="s">
        <v>198</v>
      </c>
      <c r="B63" s="101" t="s">
        <v>266</v>
      </c>
      <c r="C63" s="93">
        <v>395</v>
      </c>
      <c r="D63" s="97">
        <f>C63-(C63*0.65)</f>
        <v>138.25</v>
      </c>
    </row>
    <row r="64" spans="1:4" s="52" customFormat="1" ht="16.5">
      <c r="A64" s="87" t="s">
        <v>199</v>
      </c>
      <c r="B64" s="66" t="s">
        <v>273</v>
      </c>
      <c r="C64" s="67">
        <f>C63*0.1</f>
        <v>39.5</v>
      </c>
      <c r="D64" s="89">
        <f>D63*0.1</f>
        <v>13.825000000000001</v>
      </c>
    </row>
    <row r="65" spans="1:4" s="52" customFormat="1" ht="24.75" thickBot="1">
      <c r="A65" s="98" t="s">
        <v>267</v>
      </c>
      <c r="B65" s="99"/>
    </row>
    <row r="66" spans="1:4" s="52" customFormat="1" ht="20.25" thickBot="1">
      <c r="A66" s="69" t="s">
        <v>17</v>
      </c>
      <c r="B66" s="69" t="s">
        <v>0</v>
      </c>
      <c r="C66" s="59" t="s">
        <v>53</v>
      </c>
      <c r="D66" s="60" t="s">
        <v>54</v>
      </c>
    </row>
    <row r="67" spans="1:4" s="52" customFormat="1" ht="16.5">
      <c r="A67" s="100" t="s">
        <v>200</v>
      </c>
      <c r="B67" s="101" t="s">
        <v>268</v>
      </c>
      <c r="C67" s="93">
        <v>395</v>
      </c>
      <c r="D67" s="97">
        <f>C67-(C67*0.65)</f>
        <v>138.25</v>
      </c>
    </row>
    <row r="68" spans="1:4" s="52" customFormat="1" ht="16.5">
      <c r="A68" s="87" t="s">
        <v>201</v>
      </c>
      <c r="B68" s="66" t="s">
        <v>274</v>
      </c>
      <c r="C68" s="67">
        <f>C67*0.1</f>
        <v>39.5</v>
      </c>
      <c r="D68" s="89">
        <f>D67*0.1</f>
        <v>13.825000000000001</v>
      </c>
    </row>
    <row r="69" spans="1:4" s="86" customFormat="1" ht="16.5">
      <c r="A69" s="102"/>
      <c r="B69" s="103"/>
      <c r="C69" s="104"/>
      <c r="D69" s="104"/>
    </row>
    <row r="70" spans="1:4" s="51" customFormat="1" ht="33.75">
      <c r="A70" s="199" t="s">
        <v>141</v>
      </c>
      <c r="B70" s="200"/>
      <c r="C70" s="200"/>
      <c r="D70" s="200"/>
    </row>
    <row r="71" spans="1:4" s="52" customFormat="1">
      <c r="A71" s="201" t="s">
        <v>142</v>
      </c>
      <c r="B71" s="201"/>
      <c r="C71" s="201"/>
      <c r="D71" s="202"/>
    </row>
    <row r="72" spans="1:4" s="54" customFormat="1" ht="16.5" thickBot="1">
      <c r="A72" s="203" t="s">
        <v>52</v>
      </c>
      <c r="B72" s="204"/>
      <c r="C72" s="53"/>
    </row>
    <row r="73" spans="1:4" s="52" customFormat="1" ht="13.5" thickBot="1">
      <c r="A73" s="105"/>
      <c r="B73" s="106"/>
      <c r="C73" s="106"/>
      <c r="D73" s="107"/>
    </row>
    <row r="74" spans="1:4" s="52" customFormat="1" ht="24">
      <c r="A74" s="210" t="s">
        <v>58</v>
      </c>
      <c r="B74" s="210"/>
    </row>
    <row r="75" spans="1:4" s="52" customFormat="1" ht="20.25" thickBot="1">
      <c r="A75" s="108" t="s">
        <v>3</v>
      </c>
      <c r="C75" s="211" t="s">
        <v>59</v>
      </c>
      <c r="D75" s="202"/>
    </row>
    <row r="76" spans="1:4" s="52" customFormat="1" ht="20.25" thickBot="1">
      <c r="A76" s="69" t="s">
        <v>17</v>
      </c>
      <c r="B76" s="69" t="s">
        <v>0</v>
      </c>
      <c r="C76" s="91" t="s">
        <v>53</v>
      </c>
      <c r="D76" s="92" t="s">
        <v>54</v>
      </c>
    </row>
    <row r="77" spans="1:4" s="52" customFormat="1" ht="181.5">
      <c r="A77" s="95" t="s">
        <v>202</v>
      </c>
      <c r="B77" s="109" t="s">
        <v>291</v>
      </c>
      <c r="C77" s="96">
        <f>C9*2.5</f>
        <v>2497.5</v>
      </c>
      <c r="D77" s="97">
        <f>C77-(C77*0.65)</f>
        <v>874.125</v>
      </c>
    </row>
    <row r="78" spans="1:4" s="52" customFormat="1" ht="20.25" thickBot="1">
      <c r="A78" s="82" t="s">
        <v>60</v>
      </c>
    </row>
    <row r="79" spans="1:4" s="52" customFormat="1" ht="20.25" thickBot="1">
      <c r="A79" s="69" t="s">
        <v>17</v>
      </c>
      <c r="B79" s="69" t="s">
        <v>0</v>
      </c>
      <c r="C79" s="212" t="s">
        <v>61</v>
      </c>
      <c r="D79" s="213"/>
    </row>
    <row r="80" spans="1:4" s="52" customFormat="1" ht="16.5">
      <c r="A80" s="95" t="s">
        <v>203</v>
      </c>
      <c r="B80" s="109" t="s">
        <v>233</v>
      </c>
      <c r="C80" s="96">
        <f>750*2.5</f>
        <v>1875</v>
      </c>
      <c r="D80" s="97">
        <f t="shared" ref="D80:D81" si="2">C80-(C80*0.65)</f>
        <v>656.25</v>
      </c>
    </row>
    <row r="81" spans="1:4" s="52" customFormat="1" ht="16.5">
      <c r="A81" s="110" t="s">
        <v>204</v>
      </c>
      <c r="B81" s="111" t="s">
        <v>232</v>
      </c>
      <c r="C81" s="112">
        <f>(750*2.5)*2</f>
        <v>3750</v>
      </c>
      <c r="D81" s="72">
        <f t="shared" si="2"/>
        <v>1312.5</v>
      </c>
    </row>
    <row r="82" spans="1:4" s="52" customFormat="1" ht="16.5">
      <c r="A82" s="61" t="s">
        <v>205</v>
      </c>
      <c r="B82" s="62" t="s">
        <v>234</v>
      </c>
      <c r="C82" s="96">
        <f>(750*2.5)*3</f>
        <v>5625</v>
      </c>
      <c r="D82" s="64">
        <f>C82-(C82*0.65)</f>
        <v>1968.75</v>
      </c>
    </row>
    <row r="83" spans="1:4" s="52" customFormat="1" ht="20.25" thickBot="1">
      <c r="A83" s="82" t="s">
        <v>62</v>
      </c>
      <c r="C83" s="94"/>
    </row>
    <row r="84" spans="1:4" s="52" customFormat="1" ht="20.25" thickBot="1">
      <c r="A84" s="69" t="s">
        <v>17</v>
      </c>
      <c r="B84" s="69" t="s">
        <v>0</v>
      </c>
      <c r="C84" s="59" t="s">
        <v>53</v>
      </c>
      <c r="D84" s="60" t="s">
        <v>54</v>
      </c>
    </row>
    <row r="85" spans="1:4" s="52" customFormat="1" ht="33">
      <c r="A85" s="95" t="s">
        <v>206</v>
      </c>
      <c r="B85" s="109" t="s">
        <v>269</v>
      </c>
      <c r="C85" s="93">
        <f>C77*0.1</f>
        <v>249.75</v>
      </c>
      <c r="D85" s="93">
        <f t="shared" ref="D85" si="3">D77*0.1</f>
        <v>87.412500000000009</v>
      </c>
    </row>
    <row r="86" spans="1:4" s="52" customFormat="1" ht="33">
      <c r="A86" s="110" t="s">
        <v>207</v>
      </c>
      <c r="B86" s="111" t="s">
        <v>270</v>
      </c>
      <c r="C86" s="114">
        <f>(C77+C80)*0.1</f>
        <v>437.25</v>
      </c>
      <c r="D86" s="114">
        <f t="shared" ref="D86" si="4">(D77+D80)*0.1</f>
        <v>153.03749999999999</v>
      </c>
    </row>
    <row r="87" spans="1:4" s="52" customFormat="1" ht="33">
      <c r="A87" s="61" t="s">
        <v>208</v>
      </c>
      <c r="B87" s="62" t="s">
        <v>271</v>
      </c>
      <c r="C87" s="85">
        <f>(C77+C81)*0.1</f>
        <v>624.75</v>
      </c>
      <c r="D87" s="85">
        <f t="shared" ref="D87" si="5">(D77+D81)*0.1</f>
        <v>218.66250000000002</v>
      </c>
    </row>
    <row r="88" spans="1:4" s="52" customFormat="1" ht="33">
      <c r="A88" s="65" t="s">
        <v>209</v>
      </c>
      <c r="B88" s="66" t="s">
        <v>272</v>
      </c>
      <c r="C88" s="89">
        <f>(C77+C82)*0.1</f>
        <v>812.25</v>
      </c>
      <c r="D88" s="89">
        <f t="shared" ref="D88" si="6">(D77+D82)*0.1</f>
        <v>284.28750000000002</v>
      </c>
    </row>
    <row r="89" spans="1:4" s="52" customFormat="1" ht="16.5">
      <c r="A89" s="95" t="s">
        <v>210</v>
      </c>
      <c r="B89" s="109" t="s">
        <v>228</v>
      </c>
      <c r="C89" s="93">
        <f>C77*0.2</f>
        <v>499.5</v>
      </c>
      <c r="D89" s="93">
        <f t="shared" ref="D89" si="7">D77*0.2</f>
        <v>174.82500000000002</v>
      </c>
    </row>
    <row r="90" spans="1:4" s="52" customFormat="1" ht="16.5">
      <c r="A90" s="110" t="s">
        <v>211</v>
      </c>
      <c r="B90" s="111" t="s">
        <v>229</v>
      </c>
      <c r="C90" s="114">
        <f>(C77+C80)*0.2</f>
        <v>874.5</v>
      </c>
      <c r="D90" s="114">
        <f t="shared" ref="D90" si="8">(D77+D80)*0.2</f>
        <v>306.07499999999999</v>
      </c>
    </row>
    <row r="91" spans="1:4" s="52" customFormat="1" ht="16.5">
      <c r="A91" s="61" t="s">
        <v>212</v>
      </c>
      <c r="B91" s="62" t="s">
        <v>230</v>
      </c>
      <c r="C91" s="85">
        <f>(C77+C81)*0.1</f>
        <v>624.75</v>
      </c>
      <c r="D91" s="85">
        <f t="shared" ref="D91" si="9">(D77+D81)*0.1</f>
        <v>218.66250000000002</v>
      </c>
    </row>
    <row r="92" spans="1:4" s="52" customFormat="1" ht="16.5">
      <c r="A92" s="65" t="s">
        <v>213</v>
      </c>
      <c r="B92" s="66" t="s">
        <v>231</v>
      </c>
      <c r="C92" s="89">
        <f>(C77+C82)*0.2</f>
        <v>1624.5</v>
      </c>
      <c r="D92" s="89">
        <f t="shared" ref="D92" si="10">(D77+D82)*0.2</f>
        <v>568.57500000000005</v>
      </c>
    </row>
    <row r="93" spans="1:4" s="52" customFormat="1" ht="24.75" thickBot="1">
      <c r="A93" s="98" t="s">
        <v>63</v>
      </c>
      <c r="C93" s="94"/>
    </row>
    <row r="94" spans="1:4" s="52" customFormat="1" ht="20.25" thickBot="1">
      <c r="A94" s="69" t="s">
        <v>17</v>
      </c>
      <c r="B94" s="69" t="s">
        <v>0</v>
      </c>
      <c r="C94" s="59" t="s">
        <v>53</v>
      </c>
      <c r="D94" s="60" t="s">
        <v>54</v>
      </c>
    </row>
    <row r="95" spans="1:4" s="52" customFormat="1" ht="16.5">
      <c r="A95" s="61" t="s">
        <v>214</v>
      </c>
      <c r="B95" s="62" t="s">
        <v>227</v>
      </c>
      <c r="C95" s="63">
        <v>4500</v>
      </c>
      <c r="D95" s="64">
        <f>C95-(C95*0.65)</f>
        <v>1575</v>
      </c>
    </row>
    <row r="96" spans="1:4" s="52" customFormat="1" ht="16.5">
      <c r="A96" s="110" t="s">
        <v>215</v>
      </c>
      <c r="B96" s="111" t="s">
        <v>275</v>
      </c>
      <c r="C96" s="112">
        <v>1000</v>
      </c>
      <c r="D96" s="72">
        <f t="shared" ref="D96" si="11">C96-(C96*0.65)</f>
        <v>350</v>
      </c>
    </row>
    <row r="97" spans="1:4" s="52" customFormat="1" ht="24.75" thickBot="1">
      <c r="A97" s="115" t="s">
        <v>64</v>
      </c>
      <c r="B97" s="116"/>
      <c r="C97" s="113"/>
    </row>
    <row r="98" spans="1:4" s="52" customFormat="1" ht="20.25" thickBot="1">
      <c r="A98" s="69" t="s">
        <v>17</v>
      </c>
      <c r="B98" s="69" t="s">
        <v>0</v>
      </c>
      <c r="C98" s="59" t="s">
        <v>53</v>
      </c>
      <c r="D98" s="60" t="s">
        <v>54</v>
      </c>
    </row>
    <row r="99" spans="1:4" s="52" customFormat="1" ht="16.5">
      <c r="A99" s="117" t="s">
        <v>216</v>
      </c>
      <c r="B99" s="109" t="s">
        <v>65</v>
      </c>
      <c r="C99" s="97">
        <v>750</v>
      </c>
      <c r="D99" s="97" t="s">
        <v>66</v>
      </c>
    </row>
    <row r="100" spans="1:4" s="52" customFormat="1" ht="16.5">
      <c r="A100" s="75" t="s">
        <v>217</v>
      </c>
      <c r="B100" s="65" t="s">
        <v>67</v>
      </c>
      <c r="C100" s="68" t="s">
        <v>66</v>
      </c>
      <c r="D100" s="68">
        <v>100</v>
      </c>
    </row>
    <row r="101" spans="1:4" s="52" customFormat="1" ht="16.5">
      <c r="A101" s="73" t="s">
        <v>218</v>
      </c>
      <c r="B101" s="62" t="s">
        <v>68</v>
      </c>
      <c r="C101" s="64">
        <v>2500</v>
      </c>
      <c r="D101" s="64">
        <v>2500</v>
      </c>
    </row>
    <row r="102" spans="1:4" s="52" customFormat="1" ht="16.5">
      <c r="A102" s="75" t="s">
        <v>219</v>
      </c>
      <c r="B102" s="65" t="s">
        <v>69</v>
      </c>
      <c r="C102" s="68">
        <v>3500</v>
      </c>
      <c r="D102" s="68">
        <v>3500</v>
      </c>
    </row>
    <row r="103" spans="1:4" s="52" customFormat="1" ht="16.5">
      <c r="A103" s="73" t="s">
        <v>220</v>
      </c>
      <c r="B103" s="61" t="s">
        <v>70</v>
      </c>
      <c r="C103" s="64">
        <v>2995</v>
      </c>
      <c r="D103" s="64">
        <v>2995</v>
      </c>
    </row>
    <row r="104" spans="1:4" s="52" customFormat="1" ht="16.5">
      <c r="A104" s="75" t="s">
        <v>221</v>
      </c>
      <c r="B104" s="65" t="s">
        <v>71</v>
      </c>
      <c r="C104" s="68">
        <v>4950</v>
      </c>
      <c r="D104" s="68">
        <v>4950</v>
      </c>
    </row>
    <row r="105" spans="1:4" ht="33">
      <c r="A105" s="73" t="s">
        <v>222</v>
      </c>
      <c r="B105" s="61" t="s">
        <v>72</v>
      </c>
      <c r="C105" s="64">
        <v>8950</v>
      </c>
      <c r="D105" s="64">
        <v>8950</v>
      </c>
    </row>
    <row r="106" spans="1:4" ht="16.5">
      <c r="A106" s="75" t="s">
        <v>223</v>
      </c>
      <c r="B106" s="66" t="s">
        <v>73</v>
      </c>
      <c r="C106" s="68">
        <v>450</v>
      </c>
      <c r="D106" s="68">
        <v>450</v>
      </c>
    </row>
    <row r="107" spans="1:4" ht="16.5">
      <c r="A107" s="73" t="s">
        <v>224</v>
      </c>
      <c r="B107" s="62" t="s">
        <v>74</v>
      </c>
      <c r="C107" s="64">
        <v>5950</v>
      </c>
      <c r="D107" s="64">
        <v>5950</v>
      </c>
    </row>
    <row r="108" spans="1:4" ht="16.5">
      <c r="A108" s="75" t="s">
        <v>225</v>
      </c>
      <c r="B108" s="66" t="s">
        <v>75</v>
      </c>
      <c r="C108" s="68">
        <v>1950</v>
      </c>
      <c r="D108" s="68">
        <v>1950</v>
      </c>
    </row>
    <row r="109" spans="1:4" ht="16.5">
      <c r="A109" s="73" t="s">
        <v>226</v>
      </c>
      <c r="B109" s="62" t="s">
        <v>76</v>
      </c>
      <c r="C109" s="64">
        <v>9950</v>
      </c>
      <c r="D109" s="64">
        <v>9950</v>
      </c>
    </row>
    <row r="110" spans="1:4">
      <c r="D110" s="120"/>
    </row>
    <row r="111" spans="1:4">
      <c r="D111" s="120"/>
    </row>
    <row r="112" spans="1:4">
      <c r="D112" s="120"/>
    </row>
    <row r="113" spans="4:4">
      <c r="D113" s="120"/>
    </row>
    <row r="114" spans="4:4">
      <c r="D114" s="120"/>
    </row>
    <row r="115" spans="4:4">
      <c r="D115" s="120"/>
    </row>
    <row r="116" spans="4:4">
      <c r="D116" s="120"/>
    </row>
    <row r="117" spans="4:4">
      <c r="D117" s="120"/>
    </row>
    <row r="118" spans="4:4">
      <c r="D118" s="120"/>
    </row>
    <row r="119" spans="4:4">
      <c r="D119" s="120"/>
    </row>
    <row r="120" spans="4:4">
      <c r="D120" s="120"/>
    </row>
    <row r="121" spans="4:4">
      <c r="D121" s="120"/>
    </row>
    <row r="122" spans="4:4">
      <c r="D122" s="120"/>
    </row>
    <row r="123" spans="4:4">
      <c r="D123" s="120"/>
    </row>
    <row r="124" spans="4:4">
      <c r="D124" s="120"/>
    </row>
    <row r="125" spans="4:4">
      <c r="D125" s="120"/>
    </row>
    <row r="126" spans="4:4">
      <c r="D126" s="120"/>
    </row>
    <row r="127" spans="4:4">
      <c r="D127" s="120"/>
    </row>
    <row r="128" spans="4:4">
      <c r="D128" s="120"/>
    </row>
    <row r="129" spans="4:4">
      <c r="D129" s="120"/>
    </row>
    <row r="130" spans="4:4">
      <c r="D130" s="120"/>
    </row>
    <row r="131" spans="4:4">
      <c r="D131" s="120"/>
    </row>
    <row r="132" spans="4:4">
      <c r="D132" s="120"/>
    </row>
    <row r="133" spans="4:4">
      <c r="D133" s="120"/>
    </row>
    <row r="134" spans="4:4">
      <c r="D134" s="120"/>
    </row>
    <row r="135" spans="4:4">
      <c r="D135" s="120"/>
    </row>
    <row r="136" spans="4:4">
      <c r="D136" s="120"/>
    </row>
    <row r="137" spans="4:4">
      <c r="D137" s="120"/>
    </row>
    <row r="138" spans="4:4">
      <c r="D138" s="120"/>
    </row>
    <row r="139" spans="4:4">
      <c r="D139" s="120"/>
    </row>
    <row r="140" spans="4:4">
      <c r="D140" s="120"/>
    </row>
    <row r="141" spans="4:4">
      <c r="D141" s="120"/>
    </row>
    <row r="142" spans="4:4">
      <c r="D142" s="120"/>
    </row>
    <row r="143" spans="4:4">
      <c r="D143" s="120"/>
    </row>
    <row r="144" spans="4:4">
      <c r="D144" s="120"/>
    </row>
    <row r="145" spans="4:4">
      <c r="D145" s="120"/>
    </row>
    <row r="146" spans="4:4">
      <c r="D146" s="120"/>
    </row>
    <row r="147" spans="4:4">
      <c r="D147" s="120"/>
    </row>
    <row r="148" spans="4:4">
      <c r="D148" s="120"/>
    </row>
    <row r="149" spans="4:4">
      <c r="D149" s="120"/>
    </row>
    <row r="150" spans="4:4">
      <c r="D150" s="120"/>
    </row>
    <row r="151" spans="4:4">
      <c r="D151" s="120"/>
    </row>
    <row r="152" spans="4:4">
      <c r="D152" s="120"/>
    </row>
    <row r="153" spans="4:4">
      <c r="D153" s="120"/>
    </row>
    <row r="154" spans="4:4">
      <c r="D154" s="120"/>
    </row>
    <row r="155" spans="4:4">
      <c r="D155" s="120"/>
    </row>
    <row r="156" spans="4:4">
      <c r="D156" s="120"/>
    </row>
    <row r="157" spans="4:4">
      <c r="D157" s="120"/>
    </row>
    <row r="158" spans="4:4">
      <c r="D158" s="120"/>
    </row>
    <row r="159" spans="4:4">
      <c r="D159" s="120"/>
    </row>
    <row r="160" spans="4:4">
      <c r="D160" s="120"/>
    </row>
    <row r="161" spans="4:4">
      <c r="D161" s="120"/>
    </row>
    <row r="162" spans="4:4">
      <c r="D162" s="120"/>
    </row>
    <row r="163" spans="4:4">
      <c r="D163" s="120"/>
    </row>
    <row r="164" spans="4:4">
      <c r="D164" s="120"/>
    </row>
  </sheetData>
  <mergeCells count="15">
    <mergeCell ref="A72:B72"/>
    <mergeCell ref="A74:B74"/>
    <mergeCell ref="C75:D75"/>
    <mergeCell ref="C79:D79"/>
    <mergeCell ref="A26:D26"/>
    <mergeCell ref="A27:D27"/>
    <mergeCell ref="A28:B28"/>
    <mergeCell ref="A70:D70"/>
    <mergeCell ref="A71:D71"/>
    <mergeCell ref="C11:D11"/>
    <mergeCell ref="A2:D2"/>
    <mergeCell ref="A3:D3"/>
    <mergeCell ref="A4:B4"/>
    <mergeCell ref="A5:D5"/>
    <mergeCell ref="A6:B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sheetPr>
    <pageSetUpPr fitToPage="1"/>
  </sheetPr>
  <dimension ref="A1:F27"/>
  <sheetViews>
    <sheetView zoomScaleNormal="100" workbookViewId="0">
      <selection activeCell="I11" sqref="I11"/>
    </sheetView>
  </sheetViews>
  <sheetFormatPr defaultRowHeight="15"/>
  <cols>
    <col min="1" max="1" width="21.85546875" style="131" customWidth="1"/>
    <col min="2" max="2" width="14.42578125" style="131" customWidth="1"/>
    <col min="3" max="3" width="39.7109375" style="131" customWidth="1"/>
    <col min="4" max="4" width="15" style="131" customWidth="1"/>
    <col min="5" max="5" width="9.140625" style="131"/>
    <col min="6" max="6" width="27.7109375" style="131" customWidth="1"/>
    <col min="7" max="16384" width="9.140625" style="131"/>
  </cols>
  <sheetData>
    <row r="1" spans="1:6" ht="44.25" customHeight="1">
      <c r="A1" s="216" t="s">
        <v>121</v>
      </c>
      <c r="B1" s="217"/>
      <c r="C1" s="217"/>
      <c r="D1" s="217"/>
      <c r="E1" s="217"/>
      <c r="F1" s="217"/>
    </row>
    <row r="2" spans="1:6" s="168" customFormat="1" ht="29.25" customHeight="1">
      <c r="A2" s="167" t="s">
        <v>16</v>
      </c>
      <c r="B2" s="167" t="s">
        <v>133</v>
      </c>
      <c r="C2" s="167" t="s">
        <v>0</v>
      </c>
      <c r="D2" s="167" t="s">
        <v>1</v>
      </c>
      <c r="E2" s="167" t="s">
        <v>2</v>
      </c>
      <c r="F2" s="167" t="s">
        <v>17</v>
      </c>
    </row>
    <row r="3" spans="1:6" ht="15" customHeight="1"/>
    <row r="4" spans="1:6" s="5" customFormat="1" ht="15" customHeight="1">
      <c r="A4" s="24" t="s">
        <v>128</v>
      </c>
      <c r="B4" s="157"/>
      <c r="C4" s="157"/>
      <c r="D4" s="157"/>
      <c r="E4" s="157"/>
      <c r="F4" s="157"/>
    </row>
    <row r="5" spans="1:6" s="174" customFormat="1" ht="15" customHeight="1">
      <c r="A5" s="174" t="s">
        <v>122</v>
      </c>
      <c r="B5" s="174" t="s">
        <v>123</v>
      </c>
      <c r="C5" s="175" t="s">
        <v>129</v>
      </c>
      <c r="D5" s="176" t="s">
        <v>18</v>
      </c>
      <c r="E5" s="177">
        <v>999</v>
      </c>
      <c r="F5" s="178" t="s">
        <v>136</v>
      </c>
    </row>
    <row r="6" spans="1:6" ht="15" customHeight="1">
      <c r="A6" s="158" t="s">
        <v>124</v>
      </c>
      <c r="B6" s="158" t="s">
        <v>123</v>
      </c>
      <c r="C6" s="171" t="s">
        <v>22</v>
      </c>
      <c r="D6" s="169" t="s">
        <v>19</v>
      </c>
      <c r="E6" s="159">
        <v>750</v>
      </c>
      <c r="F6" s="155" t="s">
        <v>137</v>
      </c>
    </row>
    <row r="7" spans="1:6" s="174" customFormat="1" ht="15" customHeight="1">
      <c r="A7" s="174" t="s">
        <v>125</v>
      </c>
      <c r="B7" s="174" t="s">
        <v>123</v>
      </c>
      <c r="C7" s="175" t="s">
        <v>23</v>
      </c>
      <c r="D7" s="176" t="s">
        <v>19</v>
      </c>
      <c r="E7" s="177">
        <v>500</v>
      </c>
      <c r="F7" s="179" t="s">
        <v>138</v>
      </c>
    </row>
    <row r="8" spans="1:6" ht="15" customHeight="1">
      <c r="A8" s="158" t="s">
        <v>126</v>
      </c>
      <c r="B8" s="158" t="s">
        <v>123</v>
      </c>
      <c r="C8" s="171" t="s">
        <v>21</v>
      </c>
      <c r="D8" s="169" t="s">
        <v>18</v>
      </c>
      <c r="E8" s="159">
        <v>395</v>
      </c>
      <c r="F8" s="160" t="s">
        <v>139</v>
      </c>
    </row>
    <row r="9" spans="1:6" s="174" customFormat="1" ht="15" customHeight="1">
      <c r="A9" s="174" t="s">
        <v>127</v>
      </c>
      <c r="B9" s="174" t="s">
        <v>123</v>
      </c>
      <c r="C9" s="175" t="s">
        <v>120</v>
      </c>
      <c r="D9" s="176" t="s">
        <v>18</v>
      </c>
      <c r="E9" s="177">
        <v>395</v>
      </c>
      <c r="F9" s="180" t="s">
        <v>140</v>
      </c>
    </row>
    <row r="10" spans="1:6" ht="15" customHeight="1">
      <c r="F10" s="161"/>
    </row>
    <row r="11" spans="1:6" s="27" customFormat="1" ht="15" customHeight="1">
      <c r="A11" s="24" t="s">
        <v>130</v>
      </c>
      <c r="B11" s="24"/>
      <c r="C11" s="24"/>
      <c r="D11" s="24"/>
      <c r="E11" s="24"/>
      <c r="F11" s="25"/>
    </row>
    <row r="12" spans="1:6" s="174" customFormat="1" ht="15" customHeight="1">
      <c r="A12" s="174" t="s">
        <v>131</v>
      </c>
      <c r="C12" s="175"/>
      <c r="E12" s="181"/>
      <c r="F12" s="178"/>
    </row>
    <row r="13" spans="1:6" ht="15" customHeight="1">
      <c r="C13" s="170"/>
      <c r="F13" s="162"/>
    </row>
    <row r="14" spans="1:6" ht="15" customHeight="1">
      <c r="A14" s="24" t="s">
        <v>132</v>
      </c>
      <c r="B14" s="24"/>
      <c r="C14" s="172"/>
      <c r="D14" s="24"/>
      <c r="E14" s="24"/>
      <c r="F14" s="163"/>
    </row>
    <row r="15" spans="1:6" s="174" customFormat="1" ht="15" customHeight="1">
      <c r="A15" s="174" t="s">
        <v>24</v>
      </c>
      <c r="B15" s="174" t="s">
        <v>123</v>
      </c>
      <c r="C15" s="182" t="s">
        <v>25</v>
      </c>
      <c r="F15" s="183"/>
    </row>
    <row r="16" spans="1:6" s="5" customFormat="1" ht="15" customHeight="1">
      <c r="C16" s="173"/>
      <c r="F16" s="164"/>
    </row>
    <row r="17" spans="1:6" ht="15" customHeight="1">
      <c r="A17" s="24" t="s">
        <v>26</v>
      </c>
      <c r="B17" s="24"/>
      <c r="C17" s="172"/>
      <c r="D17" s="24"/>
      <c r="E17" s="24"/>
      <c r="F17" s="163"/>
    </row>
    <row r="18" spans="1:6" s="185" customFormat="1" ht="27" customHeight="1">
      <c r="A18" s="214" t="s">
        <v>134</v>
      </c>
      <c r="B18" s="215"/>
      <c r="C18" s="215"/>
      <c r="D18" s="215"/>
      <c r="E18" s="215"/>
      <c r="F18" s="215"/>
    </row>
    <row r="19" spans="1:6" ht="15" customHeight="1"/>
    <row r="20" spans="1:6" ht="15" customHeight="1">
      <c r="A20" s="24" t="s">
        <v>27</v>
      </c>
      <c r="B20" s="24"/>
      <c r="C20" s="24"/>
      <c r="D20" s="24"/>
      <c r="E20" s="24"/>
      <c r="F20" s="24"/>
    </row>
    <row r="21" spans="1:6" ht="15" customHeight="1">
      <c r="B21" s="156" t="s">
        <v>28</v>
      </c>
    </row>
    <row r="22" spans="1:6" s="174" customFormat="1" ht="15" customHeight="1">
      <c r="A22" s="174" t="s">
        <v>135</v>
      </c>
      <c r="B22" s="184">
        <v>0</v>
      </c>
    </row>
    <row r="23" spans="1:6" ht="15" customHeight="1">
      <c r="A23" s="158" t="s">
        <v>29</v>
      </c>
      <c r="B23" s="165">
        <v>0.65</v>
      </c>
      <c r="C23" s="158"/>
      <c r="D23" s="158"/>
      <c r="E23" s="158"/>
      <c r="F23" s="158"/>
    </row>
    <row r="24" spans="1:6" ht="15" customHeight="1">
      <c r="B24" s="166"/>
    </row>
    <row r="25" spans="1:6" ht="15" customHeight="1"/>
    <row r="26" spans="1:6" ht="15" customHeight="1"/>
    <row r="27" spans="1:6" ht="15" customHeight="1"/>
  </sheetData>
  <mergeCells count="2">
    <mergeCell ref="A18:F18"/>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Creating a Quote</vt:lpstr>
      <vt:lpstr>Configure Products</vt:lpstr>
      <vt:lpstr>Quotation</vt:lpstr>
      <vt:lpstr>Skews</vt:lpstr>
      <vt:lpstr>LibJacket US List Prices</vt:lpstr>
      <vt:lpstr>'LibJacket US List Prices'!Print_Area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2011-05-27T19:46:01Z</cp:lastPrinted>
  <dcterms:created xsi:type="dcterms:W3CDTF">2009-12-08T19:30:22Z</dcterms:created>
  <dcterms:modified xsi:type="dcterms:W3CDTF">2011-06-17T09:45:45Z</dcterms:modified>
</cp:coreProperties>
</file>